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andro Aguiar\Documents\QuarentenaWork2022\William\"/>
    </mc:Choice>
  </mc:AlternateContent>
  <bookViews>
    <workbookView xWindow="0" yWindow="0" windowWidth="23040" windowHeight="9192" tabRatio="500" firstSheet="1" activeTab="2"/>
  </bookViews>
  <sheets>
    <sheet name="Branco à 90 °C" sheetId="1" r:id="rId1"/>
    <sheet name="Amberlyst 36 à 90 °C " sheetId="2" r:id="rId2"/>
    <sheet name="PS-TMPTA-09 à 90 °C  " sheetId="4" r:id="rId3"/>
    <sheet name="PS-TMPTA-08 à 90 °C  " sheetId="5" r:id="rId4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4" i="5" l="1"/>
  <c r="E34" i="5" s="1"/>
  <c r="F34" i="5" s="1"/>
  <c r="T34" i="5" s="1"/>
  <c r="E33" i="5"/>
  <c r="F33" i="5" s="1"/>
  <c r="T33" i="5" s="1"/>
  <c r="D33" i="5"/>
  <c r="D32" i="5"/>
  <c r="E32" i="5" s="1"/>
  <c r="F32" i="5" s="1"/>
  <c r="T32" i="5" s="1"/>
  <c r="D31" i="5"/>
  <c r="E31" i="5" s="1"/>
  <c r="F31" i="5" s="1"/>
  <c r="T31" i="5" s="1"/>
  <c r="D30" i="5"/>
  <c r="E30" i="5" s="1"/>
  <c r="F30" i="5" s="1"/>
  <c r="T30" i="5" s="1"/>
  <c r="X29" i="5"/>
  <c r="V29" i="5"/>
  <c r="S29" i="5"/>
  <c r="X34" i="5" s="1"/>
  <c r="C29" i="5"/>
  <c r="D26" i="5"/>
  <c r="E26" i="5" s="1"/>
  <c r="F26" i="5" s="1"/>
  <c r="C25" i="5"/>
  <c r="Y22" i="5"/>
  <c r="X22" i="5"/>
  <c r="W22" i="5"/>
  <c r="Z22" i="5" s="1"/>
  <c r="V22" i="5"/>
  <c r="U22" i="5"/>
  <c r="T22" i="5"/>
  <c r="Y21" i="5"/>
  <c r="X21" i="5"/>
  <c r="Z21" i="5" s="1"/>
  <c r="W21" i="5"/>
  <c r="V21" i="5"/>
  <c r="U21" i="5"/>
  <c r="T21" i="5"/>
  <c r="Y20" i="5"/>
  <c r="X20" i="5"/>
  <c r="W20" i="5"/>
  <c r="Z20" i="5" s="1"/>
  <c r="V20" i="5"/>
  <c r="U20" i="5"/>
  <c r="AA20" i="5" s="1"/>
  <c r="T20" i="5"/>
  <c r="Y19" i="5"/>
  <c r="X19" i="5"/>
  <c r="Z19" i="5" s="1"/>
  <c r="W19" i="5"/>
  <c r="V19" i="5"/>
  <c r="U19" i="5"/>
  <c r="T19" i="5"/>
  <c r="Y18" i="5"/>
  <c r="X18" i="5"/>
  <c r="W18" i="5"/>
  <c r="Z18" i="5" s="1"/>
  <c r="V18" i="5"/>
  <c r="U18" i="5"/>
  <c r="AA18" i="5" s="1"/>
  <c r="T18" i="5"/>
  <c r="Y17" i="5"/>
  <c r="X17" i="5"/>
  <c r="Z17" i="5" s="1"/>
  <c r="W17" i="5"/>
  <c r="V17" i="5"/>
  <c r="AB21" i="5" s="1"/>
  <c r="U17" i="5"/>
  <c r="AA22" i="5" s="1"/>
  <c r="S17" i="5"/>
  <c r="G15" i="5"/>
  <c r="G14" i="5"/>
  <c r="E6" i="5"/>
  <c r="E4" i="5"/>
  <c r="B14" i="5" s="1"/>
  <c r="D3" i="5"/>
  <c r="N34" i="4"/>
  <c r="E34" i="4"/>
  <c r="F34" i="4" s="1"/>
  <c r="T34" i="4" s="1"/>
  <c r="D34" i="4"/>
  <c r="N33" i="4"/>
  <c r="E33" i="4"/>
  <c r="F33" i="4" s="1"/>
  <c r="T33" i="4" s="1"/>
  <c r="D33" i="4"/>
  <c r="T32" i="4"/>
  <c r="N32" i="4"/>
  <c r="E32" i="4"/>
  <c r="F32" i="4" s="1"/>
  <c r="D32" i="4"/>
  <c r="N31" i="4"/>
  <c r="E31" i="4"/>
  <c r="F31" i="4" s="1"/>
  <c r="T31" i="4" s="1"/>
  <c r="D31" i="4"/>
  <c r="N30" i="4"/>
  <c r="D30" i="4"/>
  <c r="E30" i="4" s="1"/>
  <c r="F30" i="4" s="1"/>
  <c r="T30" i="4" s="1"/>
  <c r="Y29" i="4"/>
  <c r="U29" i="4"/>
  <c r="S29" i="4"/>
  <c r="X32" i="4" s="1"/>
  <c r="C29" i="4"/>
  <c r="D26" i="4"/>
  <c r="E26" i="4" s="1"/>
  <c r="F26" i="4" s="1"/>
  <c r="C25" i="4"/>
  <c r="X22" i="4"/>
  <c r="V22" i="4"/>
  <c r="U22" i="4"/>
  <c r="T22" i="4"/>
  <c r="N22" i="4"/>
  <c r="W22" i="4" s="1"/>
  <c r="Y21" i="4"/>
  <c r="X21" i="4"/>
  <c r="V21" i="4"/>
  <c r="U21" i="4"/>
  <c r="T21" i="4"/>
  <c r="N21" i="4"/>
  <c r="W21" i="4" s="1"/>
  <c r="Z21" i="4" s="1"/>
  <c r="Y20" i="4"/>
  <c r="X20" i="4"/>
  <c r="V20" i="4"/>
  <c r="U20" i="4"/>
  <c r="T20" i="4"/>
  <c r="N20" i="4"/>
  <c r="W20" i="4" s="1"/>
  <c r="Z20" i="4" s="1"/>
  <c r="Y19" i="4"/>
  <c r="X19" i="4"/>
  <c r="V19" i="4"/>
  <c r="U19" i="4"/>
  <c r="T19" i="4"/>
  <c r="N19" i="4"/>
  <c r="W19" i="4" s="1"/>
  <c r="Z19" i="4" s="1"/>
  <c r="Y18" i="4"/>
  <c r="X18" i="4"/>
  <c r="V18" i="4"/>
  <c r="U18" i="4"/>
  <c r="T18" i="4"/>
  <c r="N18" i="4"/>
  <c r="W18" i="4" s="1"/>
  <c r="Z18" i="4" s="1"/>
  <c r="Y17" i="4"/>
  <c r="X17" i="4"/>
  <c r="V17" i="4"/>
  <c r="AB22" i="4" s="1"/>
  <c r="U17" i="4"/>
  <c r="AA22" i="4" s="1"/>
  <c r="S17" i="4"/>
  <c r="N17" i="4"/>
  <c r="W17" i="4" s="1"/>
  <c r="Z17" i="4" s="1"/>
  <c r="G15" i="4"/>
  <c r="G14" i="4"/>
  <c r="E6" i="4"/>
  <c r="D3" i="4"/>
  <c r="E4" i="4" s="1"/>
  <c r="E34" i="2"/>
  <c r="F34" i="2" s="1"/>
  <c r="T34" i="2" s="1"/>
  <c r="D34" i="2"/>
  <c r="D33" i="2"/>
  <c r="E33" i="2" s="1"/>
  <c r="F33" i="2" s="1"/>
  <c r="T33" i="2" s="1"/>
  <c r="E32" i="2"/>
  <c r="F32" i="2" s="1"/>
  <c r="T32" i="2" s="1"/>
  <c r="D32" i="2"/>
  <c r="D31" i="2"/>
  <c r="E31" i="2" s="1"/>
  <c r="F31" i="2" s="1"/>
  <c r="T31" i="2" s="1"/>
  <c r="D30" i="2"/>
  <c r="E30" i="2" s="1"/>
  <c r="F30" i="2" s="1"/>
  <c r="T30" i="2" s="1"/>
  <c r="S29" i="2"/>
  <c r="X34" i="2" s="1"/>
  <c r="C29" i="2"/>
  <c r="D26" i="2"/>
  <c r="E26" i="2" s="1"/>
  <c r="F26" i="2" s="1"/>
  <c r="C25" i="2"/>
  <c r="X22" i="2"/>
  <c r="V22" i="2"/>
  <c r="T22" i="2"/>
  <c r="Y21" i="2"/>
  <c r="W21" i="2"/>
  <c r="U21" i="2"/>
  <c r="T21" i="2"/>
  <c r="X20" i="2"/>
  <c r="V20" i="2"/>
  <c r="AB20" i="2" s="1"/>
  <c r="T20" i="2"/>
  <c r="Y19" i="2"/>
  <c r="W19" i="2"/>
  <c r="U19" i="2"/>
  <c r="T19" i="2"/>
  <c r="Y18" i="2"/>
  <c r="X18" i="2"/>
  <c r="Z18" i="2" s="1"/>
  <c r="W18" i="2"/>
  <c r="V18" i="2"/>
  <c r="AB18" i="2" s="1"/>
  <c r="U18" i="2"/>
  <c r="T18" i="2"/>
  <c r="Y17" i="2"/>
  <c r="X17" i="2"/>
  <c r="W17" i="2"/>
  <c r="Z17" i="2" s="1"/>
  <c r="V17" i="2"/>
  <c r="U17" i="2"/>
  <c r="S17" i="2"/>
  <c r="G15" i="2"/>
  <c r="G14" i="2"/>
  <c r="E6" i="2"/>
  <c r="D3" i="2"/>
  <c r="E4" i="2" s="1"/>
  <c r="N34" i="1"/>
  <c r="W34" i="1" s="1"/>
  <c r="D34" i="1"/>
  <c r="E34" i="1" s="1"/>
  <c r="F34" i="1" s="1"/>
  <c r="T34" i="1" s="1"/>
  <c r="N33" i="1"/>
  <c r="W33" i="1" s="1"/>
  <c r="D33" i="1"/>
  <c r="E33" i="1" s="1"/>
  <c r="F33" i="1" s="1"/>
  <c r="T33" i="1" s="1"/>
  <c r="U32" i="1"/>
  <c r="N32" i="1"/>
  <c r="W32" i="1" s="1"/>
  <c r="D32" i="1"/>
  <c r="E32" i="1" s="1"/>
  <c r="F32" i="1" s="1"/>
  <c r="T32" i="1" s="1"/>
  <c r="Y31" i="1"/>
  <c r="U31" i="1"/>
  <c r="N31" i="1"/>
  <c r="W31" i="1" s="1"/>
  <c r="D31" i="1"/>
  <c r="E31" i="1" s="1"/>
  <c r="F31" i="1" s="1"/>
  <c r="T31" i="1" s="1"/>
  <c r="Y30" i="1"/>
  <c r="U30" i="1"/>
  <c r="N30" i="1"/>
  <c r="W30" i="1" s="1"/>
  <c r="E30" i="1"/>
  <c r="F30" i="1" s="1"/>
  <c r="T30" i="1" s="1"/>
  <c r="D30" i="1"/>
  <c r="X29" i="1"/>
  <c r="V29" i="1"/>
  <c r="S29" i="1"/>
  <c r="X34" i="1" s="1"/>
  <c r="C29" i="1"/>
  <c r="E26" i="1"/>
  <c r="F26" i="1" s="1"/>
  <c r="D26" i="1"/>
  <c r="C25" i="1"/>
  <c r="G15" i="1"/>
  <c r="G14" i="1"/>
  <c r="E6" i="1"/>
  <c r="D3" i="1"/>
  <c r="E4" i="1" s="1"/>
  <c r="B14" i="2" l="1"/>
  <c r="E5" i="2"/>
  <c r="B15" i="2" s="1"/>
  <c r="B14" i="1"/>
  <c r="E5" i="1"/>
  <c r="B15" i="1" s="1"/>
  <c r="G30" i="1"/>
  <c r="T29" i="1"/>
  <c r="G30" i="2"/>
  <c r="T29" i="2"/>
  <c r="AB29" i="1"/>
  <c r="Y32" i="1"/>
  <c r="U33" i="1"/>
  <c r="Y33" i="1"/>
  <c r="U34" i="1"/>
  <c r="Y34" i="1"/>
  <c r="Z34" i="1" s="1"/>
  <c r="AA17" i="2"/>
  <c r="AA19" i="2"/>
  <c r="AA21" i="2"/>
  <c r="AB22" i="2"/>
  <c r="U29" i="2"/>
  <c r="W29" i="2"/>
  <c r="Y29" i="2"/>
  <c r="U30" i="2"/>
  <c r="W30" i="2"/>
  <c r="Y30" i="2"/>
  <c r="V31" i="2"/>
  <c r="X31" i="2"/>
  <c r="U32" i="2"/>
  <c r="W32" i="2"/>
  <c r="Y32" i="2"/>
  <c r="V33" i="2"/>
  <c r="X33" i="2"/>
  <c r="U34" i="2"/>
  <c r="W34" i="2"/>
  <c r="Z34" i="2" s="1"/>
  <c r="Y34" i="2"/>
  <c r="B14" i="4"/>
  <c r="E5" i="4"/>
  <c r="B15" i="4" s="1"/>
  <c r="G30" i="4"/>
  <c r="T29" i="4"/>
  <c r="U29" i="1"/>
  <c r="W29" i="1"/>
  <c r="Y29" i="1"/>
  <c r="V30" i="1"/>
  <c r="X30" i="1"/>
  <c r="Z30" i="1" s="1"/>
  <c r="AB30" i="1"/>
  <c r="V31" i="1"/>
  <c r="X31" i="1"/>
  <c r="Z31" i="1" s="1"/>
  <c r="AB31" i="1"/>
  <c r="V32" i="1"/>
  <c r="X32" i="1"/>
  <c r="Z32" i="1" s="1"/>
  <c r="AB32" i="1"/>
  <c r="V33" i="1"/>
  <c r="X33" i="1"/>
  <c r="Z33" i="1" s="1"/>
  <c r="AB33" i="1"/>
  <c r="V34" i="1"/>
  <c r="AB34" i="1" s="1"/>
  <c r="AB17" i="2"/>
  <c r="AA18" i="2"/>
  <c r="V19" i="2"/>
  <c r="X19" i="2"/>
  <c r="Z19" i="2" s="1"/>
  <c r="AB19" i="2"/>
  <c r="U20" i="2"/>
  <c r="W20" i="2"/>
  <c r="Z20" i="2" s="1"/>
  <c r="Y20" i="2"/>
  <c r="AA20" i="2"/>
  <c r="V21" i="2"/>
  <c r="AB21" i="2" s="1"/>
  <c r="X21" i="2"/>
  <c r="Z21" i="2" s="1"/>
  <c r="U22" i="2"/>
  <c r="AA22" i="2" s="1"/>
  <c r="W22" i="2"/>
  <c r="Z22" i="2" s="1"/>
  <c r="Y22" i="2"/>
  <c r="V29" i="2"/>
  <c r="X29" i="2"/>
  <c r="V30" i="2"/>
  <c r="X30" i="2"/>
  <c r="U31" i="2"/>
  <c r="W31" i="2"/>
  <c r="Y31" i="2"/>
  <c r="V32" i="2"/>
  <c r="X32" i="2"/>
  <c r="U33" i="2"/>
  <c r="W33" i="2"/>
  <c r="Z33" i="2" s="1"/>
  <c r="Y33" i="2"/>
  <c r="V34" i="2"/>
  <c r="AB17" i="4"/>
  <c r="AB18" i="4"/>
  <c r="AB19" i="4"/>
  <c r="AB20" i="4"/>
  <c r="AB21" i="4"/>
  <c r="X30" i="4"/>
  <c r="W31" i="4"/>
  <c r="V31" i="4"/>
  <c r="W33" i="4"/>
  <c r="Z33" i="4" s="1"/>
  <c r="AA17" i="4"/>
  <c r="AA18" i="4"/>
  <c r="AA19" i="4"/>
  <c r="AA20" i="4"/>
  <c r="AA21" i="4"/>
  <c r="X34" i="4"/>
  <c r="V34" i="4"/>
  <c r="X33" i="4"/>
  <c r="V33" i="4"/>
  <c r="Y34" i="4"/>
  <c r="U34" i="4"/>
  <c r="AA34" i="4" s="1"/>
  <c r="Y33" i="4"/>
  <c r="U33" i="4"/>
  <c r="AA33" i="4" s="1"/>
  <c r="Y32" i="4"/>
  <c r="U32" i="4"/>
  <c r="AA32" i="4" s="1"/>
  <c r="Y31" i="4"/>
  <c r="U31" i="4"/>
  <c r="AA31" i="4" s="1"/>
  <c r="Y30" i="4"/>
  <c r="U30" i="4"/>
  <c r="AA30" i="4" s="1"/>
  <c r="X29" i="4"/>
  <c r="V29" i="4"/>
  <c r="Y22" i="4"/>
  <c r="Z22" i="4" s="1"/>
  <c r="W29" i="4"/>
  <c r="Z29" i="4" s="1"/>
  <c r="AA29" i="4"/>
  <c r="W30" i="4"/>
  <c r="Z30" i="4" s="1"/>
  <c r="V30" i="4"/>
  <c r="X31" i="4"/>
  <c r="W32" i="4"/>
  <c r="Z32" i="4" s="1"/>
  <c r="V32" i="4"/>
  <c r="W34" i="4"/>
  <c r="Z34" i="4" s="1"/>
  <c r="E14" i="5"/>
  <c r="F14" i="5"/>
  <c r="T17" i="5" s="1"/>
  <c r="G30" i="5"/>
  <c r="T29" i="5"/>
  <c r="E5" i="5"/>
  <c r="B15" i="5" s="1"/>
  <c r="AA17" i="5"/>
  <c r="AB18" i="5"/>
  <c r="AA19" i="5"/>
  <c r="AB20" i="5"/>
  <c r="AA21" i="5"/>
  <c r="AB22" i="5"/>
  <c r="U29" i="5"/>
  <c r="W29" i="5"/>
  <c r="Y29" i="5"/>
  <c r="U30" i="5"/>
  <c r="W30" i="5"/>
  <c r="Y30" i="5"/>
  <c r="V31" i="5"/>
  <c r="X31" i="5"/>
  <c r="AB31" i="5"/>
  <c r="U32" i="5"/>
  <c r="W32" i="5"/>
  <c r="Y32" i="5"/>
  <c r="V33" i="5"/>
  <c r="X33" i="5"/>
  <c r="AB33" i="5"/>
  <c r="U34" i="5"/>
  <c r="W34" i="5"/>
  <c r="Z34" i="5" s="1"/>
  <c r="Y34" i="5"/>
  <c r="AB17" i="5"/>
  <c r="AB19" i="5"/>
  <c r="AB29" i="5"/>
  <c r="V30" i="5"/>
  <c r="X30" i="5"/>
  <c r="AB30" i="5"/>
  <c r="U31" i="5"/>
  <c r="W31" i="5"/>
  <c r="Y31" i="5"/>
  <c r="V32" i="5"/>
  <c r="X32" i="5"/>
  <c r="AB32" i="5"/>
  <c r="U33" i="5"/>
  <c r="W33" i="5"/>
  <c r="Y33" i="5"/>
  <c r="V34" i="5"/>
  <c r="AB34" i="5" s="1"/>
  <c r="Z32" i="5" l="1"/>
  <c r="Z30" i="5"/>
  <c r="AA33" i="5"/>
  <c r="AA31" i="5"/>
  <c r="AA34" i="5"/>
  <c r="AA32" i="5"/>
  <c r="AA30" i="5"/>
  <c r="AA29" i="5"/>
  <c r="AB34" i="4"/>
  <c r="AB33" i="4"/>
  <c r="AB29" i="4"/>
  <c r="AB31" i="4"/>
  <c r="AB32" i="4"/>
  <c r="AB30" i="4"/>
  <c r="Z31" i="4"/>
  <c r="AB34" i="2"/>
  <c r="AB32" i="2"/>
  <c r="AB30" i="2"/>
  <c r="AB29" i="2"/>
  <c r="AB33" i="2"/>
  <c r="AB31" i="2"/>
  <c r="AA29" i="1"/>
  <c r="AA34" i="1"/>
  <c r="AA33" i="1"/>
  <c r="AA32" i="1"/>
  <c r="AA31" i="1"/>
  <c r="AA30" i="1"/>
  <c r="H34" i="4"/>
  <c r="H33" i="4"/>
  <c r="H31" i="4"/>
  <c r="H32" i="4"/>
  <c r="H30" i="4"/>
  <c r="F15" i="4"/>
  <c r="E15" i="4"/>
  <c r="Z30" i="2"/>
  <c r="AA33" i="2"/>
  <c r="AA31" i="2"/>
  <c r="AA34" i="2"/>
  <c r="AA32" i="2"/>
  <c r="AA30" i="2"/>
  <c r="AA29" i="2"/>
  <c r="H34" i="1"/>
  <c r="H33" i="1"/>
  <c r="H32" i="1"/>
  <c r="H31" i="1"/>
  <c r="H30" i="1"/>
  <c r="E14" i="1"/>
  <c r="F14" i="1"/>
  <c r="E14" i="2"/>
  <c r="F14" i="2"/>
  <c r="T17" i="2" s="1"/>
  <c r="Z33" i="5"/>
  <c r="Z31" i="5"/>
  <c r="Z29" i="5"/>
  <c r="F15" i="5"/>
  <c r="B17" i="5" s="1"/>
  <c r="E15" i="5"/>
  <c r="B18" i="5" s="1"/>
  <c r="H33" i="5"/>
  <c r="H31" i="5"/>
  <c r="H34" i="5"/>
  <c r="H32" i="5"/>
  <c r="H30" i="5"/>
  <c r="Z31" i="2"/>
  <c r="Z29" i="1"/>
  <c r="E14" i="4"/>
  <c r="B18" i="4" s="1"/>
  <c r="F14" i="4"/>
  <c r="T17" i="4" s="1"/>
  <c r="Z32" i="2"/>
  <c r="Z29" i="2"/>
  <c r="H33" i="2"/>
  <c r="H31" i="2"/>
  <c r="H34" i="2"/>
  <c r="H32" i="2"/>
  <c r="H30" i="2"/>
  <c r="F15" i="1"/>
  <c r="B17" i="1" s="1"/>
  <c r="E15" i="1"/>
  <c r="F15" i="2"/>
  <c r="B17" i="2" s="1"/>
  <c r="E15" i="2"/>
  <c r="H15" i="5" l="1"/>
  <c r="H14" i="5"/>
  <c r="H14" i="4"/>
  <c r="H15" i="4"/>
  <c r="H18" i="4" s="1"/>
  <c r="B18" i="2"/>
  <c r="B18" i="1"/>
  <c r="B17" i="4"/>
  <c r="H16" i="5" l="1"/>
  <c r="H14" i="1"/>
  <c r="H16" i="1" s="1"/>
  <c r="H15" i="1"/>
  <c r="H14" i="2"/>
  <c r="H15" i="2"/>
  <c r="H18" i="2" s="1"/>
  <c r="H16" i="4"/>
  <c r="H18" i="5"/>
  <c r="H16" i="2" l="1"/>
  <c r="H18" i="1"/>
</calcChain>
</file>

<file path=xl/sharedStrings.xml><?xml version="1.0" encoding="utf-8"?>
<sst xmlns="http://schemas.openxmlformats.org/spreadsheetml/2006/main" count="336" uniqueCount="65">
  <si>
    <t>Legenda</t>
  </si>
  <si>
    <t>Valores planejados</t>
  </si>
  <si>
    <t>Cálculo das massas</t>
  </si>
  <si>
    <t>Valores Calculados</t>
  </si>
  <si>
    <t>Catálise Branco à 90° C</t>
  </si>
  <si>
    <t>Dados físicos</t>
  </si>
  <si>
    <t>Glicerol</t>
  </si>
  <si>
    <t>Valores medidos</t>
  </si>
  <si>
    <t>Acético</t>
  </si>
  <si>
    <t>Resultados</t>
  </si>
  <si>
    <t>Massa de catalisador (g)</t>
  </si>
  <si>
    <t>Planejamento</t>
  </si>
  <si>
    <t>Agitação (rpm)</t>
  </si>
  <si>
    <t>Volume de fluido (cm^3)</t>
  </si>
  <si>
    <t>razão ácido álcool</t>
  </si>
  <si>
    <t>Temperatura (ºC)</t>
  </si>
  <si>
    <t>%Catalisador (g/ml)</t>
  </si>
  <si>
    <t>Quantidades</t>
  </si>
  <si>
    <t>massa prevista(g)</t>
  </si>
  <si>
    <t>Massa molar (g/mol)</t>
  </si>
  <si>
    <t>densidade g/cm^3</t>
  </si>
  <si>
    <t>volume (ml)</t>
  </si>
  <si>
    <t>N de mols</t>
  </si>
  <si>
    <t>Massa medida</t>
  </si>
  <si>
    <t>Concentração inicial (mol/L)</t>
  </si>
  <si>
    <t>Ácido acético</t>
  </si>
  <si>
    <t>Razão calculada</t>
  </si>
  <si>
    <t>Volume medido (mL)</t>
  </si>
  <si>
    <t>Volume calculado (cm^3)</t>
  </si>
  <si>
    <t>AA</t>
  </si>
  <si>
    <t>NaOH</t>
  </si>
  <si>
    <t>Concentração (mol/L)</t>
  </si>
  <si>
    <t>Massa molar (g/L)</t>
  </si>
  <si>
    <t>Replicata 1</t>
  </si>
  <si>
    <t>Replicata 2</t>
  </si>
  <si>
    <t>Média das replicatas (ml)</t>
  </si>
  <si>
    <t>Massa presente do ácido (g)</t>
  </si>
  <si>
    <t>Concentração ácido na amostra (mol/L)</t>
  </si>
  <si>
    <t>Volume gasto (ml)</t>
  </si>
  <si>
    <t>Solução de reagentes inicial</t>
  </si>
  <si>
    <t>Concentração na amostra (mol/L)</t>
  </si>
  <si>
    <t>Conversão</t>
  </si>
  <si>
    <t>Tempo (min)</t>
  </si>
  <si>
    <t>Area AA</t>
  </si>
  <si>
    <t>Área G</t>
  </si>
  <si>
    <t>Área M</t>
  </si>
  <si>
    <t>Área D</t>
  </si>
  <si>
    <t>Área T</t>
  </si>
  <si>
    <t>V metanol (L)</t>
  </si>
  <si>
    <t>V amostra (mL)</t>
  </si>
  <si>
    <t>V tot (mL)</t>
  </si>
  <si>
    <t>AA tit</t>
  </si>
  <si>
    <t>AA (mol/L)</t>
  </si>
  <si>
    <t>G (mol/L)</t>
  </si>
  <si>
    <t>M (mol/L)</t>
  </si>
  <si>
    <t>D (mol/L)</t>
  </si>
  <si>
    <t>T (mol/L)</t>
  </si>
  <si>
    <t>W (mol/L)</t>
  </si>
  <si>
    <t>XAA GC</t>
  </si>
  <si>
    <t>XG GC</t>
  </si>
  <si>
    <t>Catálise Amberlyst 36 à 90° C</t>
  </si>
  <si>
    <t>Catálise: Dados do catalisador intumescido proveniente do meio reacional</t>
  </si>
  <si>
    <t>Catálise: Dados do meio reacional</t>
  </si>
  <si>
    <t>Catálise PS-TMPTA-09 à 90° C</t>
  </si>
  <si>
    <t>Catálise PS-TMPTA-08 à 90°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</si>
</sst>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B7B7B7"/>
        <bgColor rgb="FFCCCCFF"/>
      </patternFill>
    </fill>
    <fill>
      <patternFill patternType="solid">
        <fgColor rgb="FF00FFFF"/>
        <bgColor rgb="FF00FFFF"/>
      </patternFill>
    </fill>
    <fill>
      <patternFill patternType="solid">
        <fgColor rgb="FFFF00FF"/>
        <bgColor rgb="FFFF00FF"/>
      </patternFill>
    </fill>
    <fill>
      <patternFill patternType="solid">
        <fgColor rgb="FFFF9900"/>
        <bgColor rgb="FFFFCC00"/>
      </patternFill>
    </fill>
    <fill>
      <patternFill patternType="solid">
        <fgColor rgb="FFE7E6E6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2" fillId="2" borderId="0" xfId="0" applyFont="1" applyFill="1" applyBorder="1"/>
    <xf numFmtId="0" fontId="2" fillId="0" borderId="0" xfId="0" applyFont="1" applyBorder="1" applyAlignment="1">
      <alignment horizontal="left"/>
    </xf>
    <xf numFmtId="0" fontId="2" fillId="3" borderId="0" xfId="0" applyFont="1" applyFill="1" applyBorder="1"/>
    <xf numFmtId="0" fontId="2" fillId="5" borderId="0" xfId="0" applyFont="1" applyFill="1" applyBorder="1"/>
    <xf numFmtId="0" fontId="2" fillId="0" borderId="3" xfId="0" applyFont="1" applyBorder="1"/>
    <xf numFmtId="164" fontId="2" fillId="3" borderId="3" xfId="0" applyNumberFormat="1" applyFont="1" applyFill="1" applyBorder="1"/>
    <xf numFmtId="0" fontId="2" fillId="6" borderId="0" xfId="0" applyFont="1" applyFill="1" applyBorder="1"/>
    <xf numFmtId="0" fontId="2" fillId="7" borderId="0" xfId="0" applyFont="1" applyFill="1" applyBorder="1"/>
    <xf numFmtId="0" fontId="2" fillId="0" borderId="2" xfId="0" applyFont="1" applyBorder="1"/>
    <xf numFmtId="0" fontId="2" fillId="0" borderId="5" xfId="0" applyFont="1" applyBorder="1"/>
    <xf numFmtId="0" fontId="2" fillId="2" borderId="3" xfId="0" applyFont="1" applyFill="1" applyBorder="1"/>
    <xf numFmtId="0" fontId="2" fillId="2" borderId="3" xfId="0" applyFont="1" applyFill="1" applyBorder="1" applyAlignment="1"/>
    <xf numFmtId="0" fontId="2" fillId="3" borderId="3" xfId="0" applyFont="1" applyFill="1" applyBorder="1"/>
    <xf numFmtId="164" fontId="2" fillId="5" borderId="3" xfId="0" applyNumberFormat="1" applyFont="1" applyFill="1" applyBorder="1"/>
    <xf numFmtId="0" fontId="2" fillId="5" borderId="3" xfId="0" applyFont="1" applyFill="1" applyBorder="1"/>
    <xf numFmtId="0" fontId="2" fillId="0" borderId="0" xfId="0" applyFont="1" applyBorder="1"/>
    <xf numFmtId="0" fontId="2" fillId="0" borderId="6" xfId="0" applyFont="1" applyBorder="1" applyAlignment="1">
      <alignment vertical="center"/>
    </xf>
    <xf numFmtId="0" fontId="2" fillId="3" borderId="1" xfId="0" applyFont="1" applyFill="1" applyBorder="1"/>
    <xf numFmtId="0" fontId="2" fillId="3" borderId="7" xfId="0" applyFont="1" applyFill="1" applyBorder="1"/>
    <xf numFmtId="0" fontId="3" fillId="8" borderId="8" xfId="0" applyFont="1" applyFill="1" applyBorder="1"/>
    <xf numFmtId="0" fontId="3" fillId="8" borderId="9" xfId="0" applyFont="1" applyFill="1" applyBorder="1" applyAlignment="1"/>
    <xf numFmtId="2" fontId="2" fillId="8" borderId="9" xfId="0" applyNumberFormat="1" applyFont="1" applyFill="1" applyBorder="1" applyAlignment="1">
      <alignment horizontal="right"/>
    </xf>
    <xf numFmtId="0" fontId="2" fillId="8" borderId="10" xfId="0" applyFont="1" applyFill="1" applyBorder="1"/>
    <xf numFmtId="164" fontId="2" fillId="8" borderId="9" xfId="0" applyNumberFormat="1" applyFont="1" applyFill="1" applyBorder="1"/>
    <xf numFmtId="0" fontId="2" fillId="8" borderId="11" xfId="0" applyFont="1" applyFill="1" applyBorder="1"/>
    <xf numFmtId="0" fontId="2" fillId="0" borderId="0" xfId="0" applyFont="1" applyBorder="1" applyAlignment="1">
      <alignment horizontal="center" vertical="center"/>
    </xf>
    <xf numFmtId="0" fontId="0" fillId="0" borderId="3" xfId="0" applyFont="1" applyBorder="1"/>
    <xf numFmtId="0" fontId="2" fillId="6" borderId="6" xfId="0" applyFont="1" applyFill="1" applyBorder="1"/>
    <xf numFmtId="0" fontId="2" fillId="3" borderId="6" xfId="0" applyFont="1" applyFill="1" applyBorder="1"/>
    <xf numFmtId="0" fontId="0" fillId="0" borderId="3" xfId="0" applyBorder="1"/>
    <xf numFmtId="0" fontId="2" fillId="6" borderId="4" xfId="0" applyFont="1" applyFill="1" applyBorder="1"/>
    <xf numFmtId="0" fontId="2" fillId="3" borderId="3" xfId="0" applyFont="1" applyFill="1" applyBorder="1" applyAlignment="1"/>
    <xf numFmtId="164" fontId="2" fillId="7" borderId="13" xfId="0" applyNumberFormat="1" applyFont="1" applyFill="1" applyBorder="1"/>
    <xf numFmtId="0" fontId="0" fillId="0" borderId="3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2" fillId="3" borderId="2" xfId="0" applyFont="1" applyFill="1" applyBorder="1"/>
    <xf numFmtId="0" fontId="4" fillId="4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opLeftCell="H13" zoomScale="85" zoomScaleNormal="85" workbookViewId="0">
      <selection activeCell="L22" sqref="L22"/>
    </sheetView>
  </sheetViews>
  <sheetFormatPr defaultRowHeight="14.4" x14ac:dyDescent="0.3"/>
  <cols>
    <col min="1" max="1" width="24.6640625" customWidth="1"/>
    <col min="2" max="2" width="21" customWidth="1"/>
    <col min="3" max="3" width="18.33203125" customWidth="1"/>
    <col min="4" max="4" width="22.33203125" customWidth="1"/>
    <col min="5" max="5" width="18.109375" customWidth="1"/>
    <col min="6" max="6" width="21" customWidth="1"/>
    <col min="7" max="8" width="24.44140625" customWidth="1"/>
    <col min="9" max="10" width="8.6640625" customWidth="1"/>
    <col min="11" max="11" width="12.44140625" customWidth="1"/>
    <col min="12" max="1025" width="8.6640625" customWidth="1"/>
  </cols>
  <sheetData>
    <row r="1" spans="1:8" x14ac:dyDescent="0.3">
      <c r="A1" s="43" t="s">
        <v>0</v>
      </c>
      <c r="B1" s="43"/>
      <c r="C1" s="1"/>
      <c r="D1" s="1"/>
      <c r="E1" s="1"/>
      <c r="F1" s="2"/>
      <c r="G1" s="2"/>
      <c r="H1" s="2"/>
    </row>
    <row r="2" spans="1:8" x14ac:dyDescent="0.3">
      <c r="A2" s="3"/>
      <c r="B2" s="4" t="s">
        <v>1</v>
      </c>
      <c r="C2" s="1"/>
      <c r="D2" s="44" t="s">
        <v>2</v>
      </c>
      <c r="E2" s="44"/>
      <c r="F2" s="2"/>
      <c r="G2" s="2"/>
      <c r="H2" s="2"/>
    </row>
    <row r="3" spans="1:8" ht="15" customHeight="1" x14ac:dyDescent="0.3">
      <c r="A3" s="5"/>
      <c r="B3" s="4" t="s">
        <v>3</v>
      </c>
      <c r="C3" s="1"/>
      <c r="D3" s="45">
        <f>C10*C15/C14</f>
        <v>2.6083179498316862</v>
      </c>
      <c r="E3" s="45"/>
      <c r="F3" s="2"/>
      <c r="G3" s="46" t="s">
        <v>4</v>
      </c>
      <c r="H3" s="46"/>
    </row>
    <row r="4" spans="1:8" x14ac:dyDescent="0.3">
      <c r="A4" s="6"/>
      <c r="B4" s="4" t="s">
        <v>5</v>
      </c>
      <c r="C4" s="1"/>
      <c r="D4" s="7" t="s">
        <v>6</v>
      </c>
      <c r="E4" s="8">
        <f>B10*D15*D14/(D15+D14*D3)</f>
        <v>62.847738542844375</v>
      </c>
      <c r="F4" s="2"/>
      <c r="G4" s="46"/>
      <c r="H4" s="46"/>
    </row>
    <row r="5" spans="1:8" x14ac:dyDescent="0.3">
      <c r="A5" s="9"/>
      <c r="B5" s="4" t="s">
        <v>7</v>
      </c>
      <c r="C5" s="1"/>
      <c r="D5" s="7" t="s">
        <v>8</v>
      </c>
      <c r="E5" s="8">
        <f>E4*D3</f>
        <v>163.9268845476297</v>
      </c>
      <c r="F5" s="2"/>
      <c r="G5" s="46"/>
      <c r="H5" s="46"/>
    </row>
    <row r="6" spans="1:8" x14ac:dyDescent="0.3">
      <c r="A6" s="10"/>
      <c r="B6" s="4" t="s">
        <v>9</v>
      </c>
      <c r="C6" s="1"/>
      <c r="D6" s="7" t="s">
        <v>10</v>
      </c>
      <c r="E6" s="8">
        <f>E10*B10</f>
        <v>2.06</v>
      </c>
      <c r="F6" s="2"/>
      <c r="G6" s="46"/>
      <c r="H6" s="46"/>
    </row>
    <row r="7" spans="1:8" x14ac:dyDescent="0.3">
      <c r="A7" s="1"/>
      <c r="B7" s="1"/>
      <c r="C7" s="1"/>
      <c r="D7" s="1"/>
      <c r="E7" s="2"/>
      <c r="F7" s="2"/>
      <c r="G7" s="46"/>
      <c r="H7" s="46"/>
    </row>
    <row r="8" spans="1:8" x14ac:dyDescent="0.3">
      <c r="A8" s="47" t="s">
        <v>11</v>
      </c>
      <c r="B8" s="47"/>
      <c r="C8" s="47"/>
      <c r="D8" s="47"/>
      <c r="E8" s="47"/>
      <c r="F8" s="2"/>
      <c r="G8" s="2"/>
      <c r="H8" s="2"/>
    </row>
    <row r="9" spans="1:8" x14ac:dyDescent="0.3">
      <c r="A9" s="11" t="s">
        <v>12</v>
      </c>
      <c r="B9" s="11" t="s">
        <v>13</v>
      </c>
      <c r="C9" s="11" t="s">
        <v>14</v>
      </c>
      <c r="D9" s="11" t="s">
        <v>15</v>
      </c>
      <c r="E9" s="12" t="s">
        <v>16</v>
      </c>
      <c r="F9" s="2"/>
      <c r="G9" s="2"/>
      <c r="H9" s="2"/>
    </row>
    <row r="10" spans="1:8" x14ac:dyDescent="0.3">
      <c r="A10" s="13">
        <v>350</v>
      </c>
      <c r="B10" s="14">
        <v>206</v>
      </c>
      <c r="C10" s="13">
        <v>4</v>
      </c>
      <c r="D10" s="14">
        <v>90</v>
      </c>
      <c r="E10" s="13">
        <v>0.01</v>
      </c>
      <c r="F10" s="2"/>
      <c r="G10" s="2"/>
      <c r="H10" s="2"/>
    </row>
    <row r="11" spans="1:8" x14ac:dyDescent="0.3">
      <c r="A11" s="2"/>
      <c r="B11" s="2"/>
      <c r="C11" s="2"/>
      <c r="D11" s="2"/>
      <c r="E11" s="2"/>
      <c r="F11" s="2"/>
      <c r="G11" s="2"/>
      <c r="H11" s="2"/>
    </row>
    <row r="12" spans="1:8" x14ac:dyDescent="0.3">
      <c r="A12" s="41" t="s">
        <v>17</v>
      </c>
      <c r="B12" s="41"/>
      <c r="C12" s="41"/>
      <c r="D12" s="41"/>
      <c r="E12" s="41"/>
      <c r="F12" s="41"/>
      <c r="G12" s="41"/>
      <c r="H12" s="41"/>
    </row>
    <row r="13" spans="1:8" x14ac:dyDescent="0.3">
      <c r="A13" s="7"/>
      <c r="B13" s="7" t="s">
        <v>18</v>
      </c>
      <c r="C13" s="7" t="s">
        <v>19</v>
      </c>
      <c r="D13" s="7" t="s">
        <v>20</v>
      </c>
      <c r="E13" s="7" t="s">
        <v>21</v>
      </c>
      <c r="F13" s="7" t="s">
        <v>22</v>
      </c>
      <c r="G13" s="7" t="s">
        <v>23</v>
      </c>
      <c r="H13" s="15" t="s">
        <v>24</v>
      </c>
    </row>
    <row r="14" spans="1:8" x14ac:dyDescent="0.3">
      <c r="A14" s="7" t="s">
        <v>6</v>
      </c>
      <c r="B14" s="8">
        <f>E4</f>
        <v>62.847738542844375</v>
      </c>
      <c r="C14" s="16">
        <v>92.09</v>
      </c>
      <c r="D14" s="16">
        <v>1.26</v>
      </c>
      <c r="E14" s="8">
        <f>B14/D14</f>
        <v>49.879157573686015</v>
      </c>
      <c r="F14" s="8">
        <f>B14/C14</f>
        <v>0.68245996897431183</v>
      </c>
      <c r="G14" s="15">
        <f>E18*D14</f>
        <v>63</v>
      </c>
      <c r="H14" s="8">
        <f>(G14/C14)/($B$18/1000)</f>
        <v>3.3209386764952393</v>
      </c>
    </row>
    <row r="15" spans="1:8" x14ac:dyDescent="0.3">
      <c r="A15" s="7" t="s">
        <v>25</v>
      </c>
      <c r="B15" s="8">
        <f>E5</f>
        <v>163.9268845476297</v>
      </c>
      <c r="C15" s="16">
        <v>60.05</v>
      </c>
      <c r="D15" s="16">
        <v>1.05</v>
      </c>
      <c r="E15" s="8">
        <f>B15/D15</f>
        <v>156.120842426314</v>
      </c>
      <c r="F15" s="8">
        <f>B15/C15</f>
        <v>2.7298398758972473</v>
      </c>
      <c r="G15" s="15">
        <f>E19*D15</f>
        <v>163.80000000000001</v>
      </c>
      <c r="H15" s="8">
        <f>(G15/C15)/($B$18/1000)</f>
        <v>13.241392690557225</v>
      </c>
    </row>
    <row r="16" spans="1:8" x14ac:dyDescent="0.3">
      <c r="A16" s="2"/>
      <c r="B16" s="2"/>
      <c r="C16" s="2"/>
      <c r="D16" s="2"/>
      <c r="E16" s="2"/>
      <c r="F16" s="2"/>
      <c r="G16" s="2"/>
      <c r="H16" s="8">
        <f>H14/H15</f>
        <v>0.25079980286843129</v>
      </c>
    </row>
    <row r="17" spans="1:28" x14ac:dyDescent="0.3">
      <c r="A17" s="7" t="s">
        <v>26</v>
      </c>
      <c r="B17" s="15">
        <f>F15/F14</f>
        <v>4</v>
      </c>
      <c r="C17" s="2"/>
      <c r="D17" s="2"/>
      <c r="E17" s="2" t="s">
        <v>27</v>
      </c>
      <c r="F17" s="2"/>
      <c r="G17" s="2"/>
      <c r="H17" s="2"/>
    </row>
    <row r="18" spans="1:28" x14ac:dyDescent="0.3">
      <c r="A18" s="7" t="s">
        <v>28</v>
      </c>
      <c r="B18" s="8">
        <f>E14+E15</f>
        <v>206</v>
      </c>
      <c r="C18" s="2"/>
      <c r="D18" s="2" t="s">
        <v>6</v>
      </c>
      <c r="E18" s="9">
        <v>50</v>
      </c>
      <c r="F18" s="2"/>
      <c r="G18" s="2"/>
      <c r="H18" s="2">
        <f>H15/H14</f>
        <v>3.9872439633638646</v>
      </c>
    </row>
    <row r="19" spans="1:28" x14ac:dyDescent="0.3">
      <c r="A19" s="2"/>
      <c r="B19" s="2"/>
      <c r="C19" s="2"/>
      <c r="D19" s="2" t="s">
        <v>29</v>
      </c>
      <c r="E19" s="9">
        <v>156</v>
      </c>
      <c r="F19" s="2"/>
      <c r="G19" s="2"/>
      <c r="H19" s="2"/>
    </row>
    <row r="20" spans="1:28" x14ac:dyDescent="0.3">
      <c r="A20" s="41" t="s">
        <v>30</v>
      </c>
      <c r="B20" s="41"/>
      <c r="C20" s="2"/>
      <c r="D20" s="2"/>
      <c r="E20" s="2"/>
      <c r="F20" s="2"/>
      <c r="G20" s="2"/>
      <c r="H20" s="2"/>
    </row>
    <row r="21" spans="1:28" x14ac:dyDescent="0.3">
      <c r="A21" s="7" t="s">
        <v>31</v>
      </c>
      <c r="B21" s="17">
        <v>2</v>
      </c>
      <c r="C21" s="2"/>
      <c r="D21" s="2"/>
      <c r="E21" s="2"/>
      <c r="F21" s="2"/>
      <c r="G21" s="2"/>
      <c r="H21" s="2"/>
    </row>
    <row r="22" spans="1:28" x14ac:dyDescent="0.3">
      <c r="A22" s="7" t="s">
        <v>32</v>
      </c>
      <c r="B22" s="17"/>
      <c r="C22" s="2"/>
      <c r="D22" s="2"/>
      <c r="E22" s="2"/>
      <c r="F22" s="2"/>
      <c r="G22" s="2"/>
      <c r="H22" s="2"/>
    </row>
    <row r="23" spans="1:28" x14ac:dyDescent="0.3">
      <c r="A23" s="18"/>
      <c r="B23" s="2"/>
      <c r="C23" s="2"/>
      <c r="D23" s="2"/>
      <c r="E23" s="2"/>
      <c r="F23" s="2"/>
      <c r="G23" s="2"/>
      <c r="H23" s="2"/>
    </row>
    <row r="24" spans="1:28" ht="15" customHeight="1" x14ac:dyDescent="0.3">
      <c r="A24" s="2"/>
      <c r="B24" s="19" t="s">
        <v>33</v>
      </c>
      <c r="C24" s="19" t="s">
        <v>34</v>
      </c>
      <c r="D24" s="42" t="s">
        <v>35</v>
      </c>
      <c r="E24" s="42" t="s">
        <v>36</v>
      </c>
      <c r="F24" s="42" t="s">
        <v>37</v>
      </c>
      <c r="G24" s="2"/>
      <c r="H24" s="2"/>
    </row>
    <row r="25" spans="1:28" x14ac:dyDescent="0.3">
      <c r="A25" s="2"/>
      <c r="B25" s="20" t="s">
        <v>38</v>
      </c>
      <c r="C25" s="21" t="str">
        <f>B25</f>
        <v>Volume gasto (ml)</v>
      </c>
      <c r="D25" s="42"/>
      <c r="E25" s="42"/>
      <c r="F25" s="42"/>
      <c r="G25" s="2"/>
      <c r="H25" s="2"/>
    </row>
    <row r="26" spans="1:28" x14ac:dyDescent="0.3">
      <c r="A26" s="22" t="s">
        <v>39</v>
      </c>
      <c r="B26" s="23">
        <v>6.75</v>
      </c>
      <c r="C26" s="24">
        <v>6.65</v>
      </c>
      <c r="D26" s="25">
        <f>(B26+C26)/2</f>
        <v>6.7</v>
      </c>
      <c r="E26" s="26">
        <f>(D26/1000)*$B$21*$C$15</f>
        <v>0.80467</v>
      </c>
      <c r="F26" s="27">
        <f>(E26/$C$15)/0.001</f>
        <v>13.4</v>
      </c>
      <c r="G26" s="1"/>
      <c r="H26" s="28"/>
    </row>
    <row r="27" spans="1:28" x14ac:dyDescent="0.3">
      <c r="A27" s="2"/>
      <c r="B27" s="2"/>
      <c r="C27" s="2"/>
      <c r="D27" s="2"/>
      <c r="E27" s="2"/>
      <c r="F27" s="2"/>
      <c r="G27" s="2"/>
      <c r="H27" s="28"/>
    </row>
    <row r="28" spans="1:28" ht="15" customHeight="1" x14ac:dyDescent="0.3">
      <c r="A28" s="2"/>
      <c r="B28" s="19" t="s">
        <v>33</v>
      </c>
      <c r="C28" s="19" t="s">
        <v>34</v>
      </c>
      <c r="D28" s="38" t="s">
        <v>35</v>
      </c>
      <c r="E28" s="38" t="s">
        <v>36</v>
      </c>
      <c r="F28" s="39" t="s">
        <v>40</v>
      </c>
      <c r="G28" s="39" t="s">
        <v>24</v>
      </c>
      <c r="H28" s="40" t="s">
        <v>41</v>
      </c>
      <c r="K28" s="29" t="s">
        <v>42</v>
      </c>
      <c r="L28" s="29" t="s">
        <v>43</v>
      </c>
      <c r="M28" s="29" t="s">
        <v>44</v>
      </c>
      <c r="N28" s="29" t="s">
        <v>45</v>
      </c>
      <c r="O28" s="29" t="s">
        <v>46</v>
      </c>
      <c r="P28" s="29" t="s">
        <v>47</v>
      </c>
      <c r="Q28" s="29" t="s">
        <v>48</v>
      </c>
      <c r="R28" s="29" t="s">
        <v>49</v>
      </c>
      <c r="S28" s="29" t="s">
        <v>50</v>
      </c>
      <c r="T28" s="29" t="s">
        <v>51</v>
      </c>
      <c r="U28" s="29" t="s">
        <v>52</v>
      </c>
      <c r="V28" s="29" t="s">
        <v>53</v>
      </c>
      <c r="W28" s="29" t="s">
        <v>54</v>
      </c>
      <c r="X28" s="29" t="s">
        <v>55</v>
      </c>
      <c r="Y28" s="29" t="s">
        <v>56</v>
      </c>
      <c r="Z28" s="29" t="s">
        <v>57</v>
      </c>
      <c r="AA28" s="29" t="s">
        <v>58</v>
      </c>
      <c r="AB28" s="29" t="s">
        <v>59</v>
      </c>
    </row>
    <row r="29" spans="1:28" x14ac:dyDescent="0.3">
      <c r="A29" s="30" t="s">
        <v>42</v>
      </c>
      <c r="B29" s="15" t="s">
        <v>38</v>
      </c>
      <c r="C29" s="31" t="str">
        <f>B29</f>
        <v>Volume gasto (ml)</v>
      </c>
      <c r="D29" s="38"/>
      <c r="E29" s="38"/>
      <c r="F29" s="38"/>
      <c r="G29" s="38"/>
      <c r="H29" s="40"/>
      <c r="J29" s="29">
        <v>2084325</v>
      </c>
      <c r="K29" s="29">
        <v>0</v>
      </c>
      <c r="L29" s="29">
        <v>3535883</v>
      </c>
      <c r="M29" s="29">
        <v>1683475</v>
      </c>
      <c r="N29" s="29">
        <v>6769</v>
      </c>
      <c r="O29" s="29"/>
      <c r="P29" s="29"/>
      <c r="Q29" s="36">
        <v>10</v>
      </c>
      <c r="R29" s="36">
        <v>0.14000000000000001</v>
      </c>
      <c r="S29" s="36">
        <f>(R29+Q29)</f>
        <v>10.14</v>
      </c>
      <c r="T29" s="29">
        <f>F26</f>
        <v>13.4</v>
      </c>
      <c r="U29" s="29">
        <f t="shared" ref="U29:U34" si="0">(((0.0035162*L29-1678.55)*$S$29/1000)/($R$29*60.05))</f>
        <v>12.97119342198692</v>
      </c>
      <c r="V29" s="29">
        <f t="shared" ref="V29:V34" si="1">(((0.00294*M29-5.4)*$S$29/1000)/($R$29*92.09))</f>
        <v>3.888457511285544</v>
      </c>
      <c r="W29" s="29">
        <f t="shared" ref="W29:W34" si="2">(((0.00293*N29-56.06)*$S$29/1000)/($R$29*134.12))</f>
        <v>-1.9563506891483111E-2</v>
      </c>
      <c r="X29" s="29">
        <f t="shared" ref="X29:X34" si="3">(((0.00291*O29-126.03)*$S$29/1000)/($R$29*176.17))</f>
        <v>-5.181457034195866E-2</v>
      </c>
      <c r="Y29" s="29">
        <f t="shared" ref="Y29:Y34" si="4">(((0.00291*P29-78.21)*$S$29/1000)/($R$29*218.21))</f>
        <v>-2.5959573674114708E-2</v>
      </c>
      <c r="Z29" s="29">
        <f t="shared" ref="Z29:Z34" si="5">W29+(2*X29)+(3*Y29)</f>
        <v>-0.20107136859774455</v>
      </c>
      <c r="AA29" s="29">
        <f t="shared" ref="AA29:AA34" si="6">($U$29-U29)/$U$29</f>
        <v>0</v>
      </c>
      <c r="AB29" s="32">
        <f t="shared" ref="AB29:AB34" si="7">($V$29-V29)/$V$29</f>
        <v>0</v>
      </c>
    </row>
    <row r="30" spans="1:28" x14ac:dyDescent="0.3">
      <c r="A30" s="33">
        <v>30</v>
      </c>
      <c r="B30" s="34">
        <v>6.4</v>
      </c>
      <c r="C30" s="34">
        <v>6.4</v>
      </c>
      <c r="D30" s="15">
        <f>(B30+C30)/2</f>
        <v>6.4</v>
      </c>
      <c r="E30" s="8">
        <f>(D30/1000)*$B$21*$C$15</f>
        <v>0.76863999999999999</v>
      </c>
      <c r="F30" s="15">
        <f>(E30/$C$15)/0.001</f>
        <v>12.8</v>
      </c>
      <c r="G30" s="37">
        <f>F26</f>
        <v>13.4</v>
      </c>
      <c r="H30" s="35">
        <f>($G$30-F30)/$G$30</f>
        <v>4.4776119402985044E-2</v>
      </c>
      <c r="J30" s="29">
        <v>2631374</v>
      </c>
      <c r="K30" s="29">
        <v>30</v>
      </c>
      <c r="L30" s="29">
        <v>3394376</v>
      </c>
      <c r="M30" s="29">
        <v>1428334</v>
      </c>
      <c r="N30" s="29">
        <f>144437+9279</f>
        <v>153716</v>
      </c>
      <c r="O30" s="29">
        <v>2548</v>
      </c>
      <c r="P30" s="29"/>
      <c r="Q30" s="36"/>
      <c r="R30" s="36"/>
      <c r="S30" s="36"/>
      <c r="T30" s="29">
        <f>F30</f>
        <v>12.8</v>
      </c>
      <c r="U30" s="29">
        <f t="shared" si="0"/>
        <v>12.371059188386823</v>
      </c>
      <c r="V30" s="29">
        <f t="shared" si="1"/>
        <v>3.2984941652110509</v>
      </c>
      <c r="W30" s="29">
        <f t="shared" si="2"/>
        <v>0.21294814362404671</v>
      </c>
      <c r="X30" s="29">
        <f t="shared" si="3"/>
        <v>-4.8766181399459936E-2</v>
      </c>
      <c r="Y30" s="29">
        <f t="shared" si="4"/>
        <v>-2.5959573674114708E-2</v>
      </c>
      <c r="Z30" s="29">
        <f t="shared" si="5"/>
        <v>3.7537059802782713E-2</v>
      </c>
      <c r="AA30" s="29">
        <f t="shared" si="6"/>
        <v>4.6266693747919467E-2</v>
      </c>
      <c r="AB30" s="32">
        <f t="shared" si="7"/>
        <v>0.15172169024921353</v>
      </c>
    </row>
    <row r="31" spans="1:28" x14ac:dyDescent="0.3">
      <c r="A31" s="33">
        <v>60</v>
      </c>
      <c r="B31" s="34">
        <v>6.5</v>
      </c>
      <c r="C31" s="34">
        <v>6.3</v>
      </c>
      <c r="D31" s="15">
        <f>(B31+C31)/2</f>
        <v>6.4</v>
      </c>
      <c r="E31" s="8">
        <f>(D31/1000)*$B$21*$C$15</f>
        <v>0.76863999999999999</v>
      </c>
      <c r="F31" s="15">
        <f>(E31/$C$15)/0.001</f>
        <v>12.8</v>
      </c>
      <c r="G31" s="37"/>
      <c r="H31" s="35">
        <f>($G$30-F31)/$G$30</f>
        <v>4.4776119402985044E-2</v>
      </c>
      <c r="J31" s="29">
        <v>2206329</v>
      </c>
      <c r="K31" s="29">
        <v>60</v>
      </c>
      <c r="L31" s="29">
        <v>3352637</v>
      </c>
      <c r="M31" s="29">
        <v>1426734</v>
      </c>
      <c r="N31" s="29">
        <f>306996+22660</f>
        <v>329656</v>
      </c>
      <c r="O31" s="29">
        <v>13187</v>
      </c>
      <c r="P31" s="29"/>
      <c r="Q31" s="36"/>
      <c r="R31" s="36"/>
      <c r="S31" s="36"/>
      <c r="T31" s="29">
        <f>F31</f>
        <v>12.8</v>
      </c>
      <c r="U31" s="29">
        <f t="shared" si="0"/>
        <v>12.194043190759606</v>
      </c>
      <c r="V31" s="29">
        <f t="shared" si="1"/>
        <v>3.2947944801203795</v>
      </c>
      <c r="W31" s="29">
        <f t="shared" si="2"/>
        <v>0.49133490750287584</v>
      </c>
      <c r="X31" s="29">
        <f t="shared" si="3"/>
        <v>-3.6037841541043961E-2</v>
      </c>
      <c r="Y31" s="29">
        <f t="shared" si="4"/>
        <v>-2.5959573674114708E-2</v>
      </c>
      <c r="Z31" s="29">
        <f t="shared" si="5"/>
        <v>0.34138050339844378</v>
      </c>
      <c r="AA31" s="29">
        <f t="shared" si="6"/>
        <v>5.9913548888261829E-2</v>
      </c>
      <c r="AB31" s="32">
        <f t="shared" si="7"/>
        <v>0.15267314338453358</v>
      </c>
    </row>
    <row r="32" spans="1:28" x14ac:dyDescent="0.3">
      <c r="A32" s="33">
        <v>120</v>
      </c>
      <c r="B32" s="34">
        <v>6.05</v>
      </c>
      <c r="C32" s="34">
        <v>6.3</v>
      </c>
      <c r="D32" s="15">
        <f>B32</f>
        <v>6.05</v>
      </c>
      <c r="E32" s="8">
        <f>(D32/1000)*$B$21*$C$15</f>
        <v>0.72660499999999995</v>
      </c>
      <c r="F32" s="15">
        <f>(E32/$C$15)/0.001</f>
        <v>12.1</v>
      </c>
      <c r="G32" s="37"/>
      <c r="H32" s="35">
        <f>($G$30-F32)/$G$30</f>
        <v>9.7014925373134372E-2</v>
      </c>
      <c r="J32" s="29">
        <v>2133845</v>
      </c>
      <c r="K32" s="29">
        <v>120</v>
      </c>
      <c r="L32" s="29">
        <v>3050145</v>
      </c>
      <c r="M32" s="29">
        <v>1127872</v>
      </c>
      <c r="N32" s="29">
        <f>512125+41208</f>
        <v>553333</v>
      </c>
      <c r="O32" s="29">
        <v>46964</v>
      </c>
      <c r="P32" s="29"/>
      <c r="Q32" s="36"/>
      <c r="R32" s="36"/>
      <c r="S32" s="36"/>
      <c r="T32" s="29">
        <f>F32</f>
        <v>12.1</v>
      </c>
      <c r="U32" s="29">
        <f t="shared" si="0"/>
        <v>10.911168106204356</v>
      </c>
      <c r="V32" s="29">
        <f t="shared" si="1"/>
        <v>2.603734926640088</v>
      </c>
      <c r="W32" s="29">
        <f t="shared" si="2"/>
        <v>0.84525508588257847</v>
      </c>
      <c r="X32" s="29">
        <f t="shared" si="3"/>
        <v>4.3724541068286236E-3</v>
      </c>
      <c r="Y32" s="29">
        <f t="shared" si="4"/>
        <v>-2.5959573674114708E-2</v>
      </c>
      <c r="Z32" s="29">
        <f t="shared" si="5"/>
        <v>0.77612127307389156</v>
      </c>
      <c r="AA32" s="29">
        <f t="shared" si="6"/>
        <v>0.15881540339154165</v>
      </c>
      <c r="AB32" s="32">
        <f t="shared" si="7"/>
        <v>0.33039388521458218</v>
      </c>
    </row>
    <row r="33" spans="1:28" x14ac:dyDescent="0.3">
      <c r="A33" s="33">
        <v>240</v>
      </c>
      <c r="B33" s="34">
        <v>5.65</v>
      </c>
      <c r="C33" s="34">
        <v>5.7</v>
      </c>
      <c r="D33" s="15">
        <f>(B33+C33)/2</f>
        <v>5.6750000000000007</v>
      </c>
      <c r="E33" s="8">
        <f>(D33/1000)*$B$21*$C$15</f>
        <v>0.68156749999999999</v>
      </c>
      <c r="F33" s="15">
        <f>(E33/$C$15)/0.001</f>
        <v>11.35</v>
      </c>
      <c r="G33" s="37"/>
      <c r="H33" s="35">
        <f>($G$30-F33)/$G$30</f>
        <v>0.15298507462686572</v>
      </c>
      <c r="J33" s="29">
        <v>1461413</v>
      </c>
      <c r="K33" s="29">
        <v>240</v>
      </c>
      <c r="L33" s="29">
        <v>2963035</v>
      </c>
      <c r="M33" s="29">
        <v>880009</v>
      </c>
      <c r="N33" s="29">
        <f>800369+74366</f>
        <v>874735</v>
      </c>
      <c r="O33" s="29">
        <v>154688</v>
      </c>
      <c r="P33" s="29">
        <v>3707</v>
      </c>
      <c r="Q33" s="36"/>
      <c r="R33" s="36"/>
      <c r="S33" s="36"/>
      <c r="T33" s="29">
        <f>F33</f>
        <v>11.35</v>
      </c>
      <c r="U33" s="29">
        <f t="shared" si="0"/>
        <v>10.541732720754135</v>
      </c>
      <c r="V33" s="29">
        <f t="shared" si="1"/>
        <v>2.0306005231217901</v>
      </c>
      <c r="W33" s="29">
        <f t="shared" si="2"/>
        <v>1.3538038109262491</v>
      </c>
      <c r="X33" s="29">
        <f t="shared" si="3"/>
        <v>0.13325183026135468</v>
      </c>
      <c r="Y33" s="29">
        <f t="shared" si="4"/>
        <v>-2.2379014586211179E-2</v>
      </c>
      <c r="Z33" s="29">
        <f t="shared" si="5"/>
        <v>1.5531704276903249</v>
      </c>
      <c r="AA33" s="29">
        <f t="shared" si="6"/>
        <v>0.18729662122798266</v>
      </c>
      <c r="AB33" s="32">
        <f t="shared" si="7"/>
        <v>0.47778765301450776</v>
      </c>
    </row>
    <row r="34" spans="1:28" x14ac:dyDescent="0.3">
      <c r="A34" s="33">
        <v>360</v>
      </c>
      <c r="B34" s="34">
        <v>5.3</v>
      </c>
      <c r="C34" s="34">
        <v>5.25</v>
      </c>
      <c r="D34" s="15">
        <f>(B34+C34)/2</f>
        <v>5.2750000000000004</v>
      </c>
      <c r="E34" s="8">
        <f>(D34/1000)*$B$21*$C$15</f>
        <v>0.63352750000000002</v>
      </c>
      <c r="F34" s="15">
        <f>(E34/$C$15)/0.001</f>
        <v>10.55</v>
      </c>
      <c r="G34" s="37"/>
      <c r="H34" s="35">
        <f>($G$30-F34)/$G$30</f>
        <v>0.21268656716417908</v>
      </c>
      <c r="J34" s="29">
        <v>1204905</v>
      </c>
      <c r="K34" s="29">
        <v>360</v>
      </c>
      <c r="L34" s="29">
        <v>2735159</v>
      </c>
      <c r="M34" s="29">
        <v>671643</v>
      </c>
      <c r="N34" s="29">
        <f>1020877+96653</f>
        <v>1117530</v>
      </c>
      <c r="O34" s="29">
        <v>317580</v>
      </c>
      <c r="P34" s="29">
        <v>11139</v>
      </c>
      <c r="Q34" s="36"/>
      <c r="R34" s="36"/>
      <c r="S34" s="36"/>
      <c r="T34" s="29">
        <f>F34</f>
        <v>10.55</v>
      </c>
      <c r="U34" s="29">
        <f t="shared" si="0"/>
        <v>9.5753056986573117</v>
      </c>
      <c r="V34" s="29">
        <f t="shared" si="1"/>
        <v>1.5487951583699175</v>
      </c>
      <c r="W34" s="29">
        <f t="shared" si="2"/>
        <v>1.7379740640577732</v>
      </c>
      <c r="X34" s="29">
        <f t="shared" si="3"/>
        <v>0.32813337328392217</v>
      </c>
      <c r="Y34" s="29">
        <f t="shared" si="4"/>
        <v>-1.5200510366815712E-2</v>
      </c>
      <c r="Z34" s="29">
        <f t="shared" si="5"/>
        <v>2.3486392795251705</v>
      </c>
      <c r="AA34" s="29">
        <f t="shared" si="6"/>
        <v>0.26180225773006999</v>
      </c>
      <c r="AB34" s="32">
        <f t="shared" si="7"/>
        <v>0.60169420551084329</v>
      </c>
    </row>
  </sheetData>
  <mergeCells count="19">
    <mergeCell ref="A1:B1"/>
    <mergeCell ref="D2:E2"/>
    <mergeCell ref="D3:E3"/>
    <mergeCell ref="G3:H7"/>
    <mergeCell ref="A8:E8"/>
    <mergeCell ref="A12:H12"/>
    <mergeCell ref="A20:B20"/>
    <mergeCell ref="D24:D25"/>
    <mergeCell ref="E24:E25"/>
    <mergeCell ref="F24:F25"/>
    <mergeCell ref="Q29:Q34"/>
    <mergeCell ref="R29:R34"/>
    <mergeCell ref="S29:S34"/>
    <mergeCell ref="G30:G34"/>
    <mergeCell ref="D28:D29"/>
    <mergeCell ref="E28:E29"/>
    <mergeCell ref="F28:F29"/>
    <mergeCell ref="G28:G29"/>
    <mergeCell ref="H28:H29"/>
  </mergeCells>
  <pageMargins left="0.51180555555555496" right="0.51180555555555496" top="0.78749999999999998" bottom="0.78749999999999998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opLeftCell="I10" zoomScaleNormal="100" workbookViewId="0">
      <selection activeCell="U17" sqref="U17"/>
    </sheetView>
  </sheetViews>
  <sheetFormatPr defaultRowHeight="14.4" x14ac:dyDescent="0.3"/>
  <cols>
    <col min="1" max="1" width="24.6640625" customWidth="1"/>
    <col min="2" max="2" width="21" customWidth="1"/>
    <col min="3" max="3" width="18.33203125" customWidth="1"/>
    <col min="4" max="4" width="22.33203125" customWidth="1"/>
    <col min="5" max="5" width="18.109375" customWidth="1"/>
    <col min="6" max="6" width="21" customWidth="1"/>
    <col min="7" max="8" width="24.44140625" customWidth="1"/>
    <col min="9" max="10" width="8.6640625" customWidth="1"/>
    <col min="11" max="11" width="12.44140625" customWidth="1"/>
    <col min="12" max="17" width="8.6640625" customWidth="1"/>
    <col min="18" max="18" width="14.44140625" customWidth="1"/>
    <col min="19" max="1025" width="8.6640625" customWidth="1"/>
  </cols>
  <sheetData>
    <row r="1" spans="1:28" x14ac:dyDescent="0.3">
      <c r="A1" s="43" t="s">
        <v>0</v>
      </c>
      <c r="B1" s="43"/>
      <c r="C1" s="1"/>
      <c r="D1" s="1"/>
      <c r="E1" s="1"/>
      <c r="F1" s="2"/>
      <c r="G1" s="2"/>
      <c r="H1" s="2"/>
    </row>
    <row r="2" spans="1:28" x14ac:dyDescent="0.3">
      <c r="A2" s="3"/>
      <c r="B2" s="4" t="s">
        <v>1</v>
      </c>
      <c r="C2" s="1"/>
      <c r="D2" s="44" t="s">
        <v>2</v>
      </c>
      <c r="E2" s="44"/>
      <c r="F2" s="2"/>
      <c r="G2" s="2"/>
      <c r="H2" s="2"/>
    </row>
    <row r="3" spans="1:28" ht="15" customHeight="1" x14ac:dyDescent="0.3">
      <c r="A3" s="5"/>
      <c r="B3" s="4" t="s">
        <v>3</v>
      </c>
      <c r="C3" s="1"/>
      <c r="D3" s="45">
        <f>C10*C15/C14</f>
        <v>2.6083179498316862</v>
      </c>
      <c r="E3" s="45"/>
      <c r="F3" s="2"/>
      <c r="G3" s="46" t="s">
        <v>60</v>
      </c>
      <c r="H3" s="46"/>
    </row>
    <row r="4" spans="1:28" x14ac:dyDescent="0.3">
      <c r="A4" s="6"/>
      <c r="B4" s="4" t="s">
        <v>5</v>
      </c>
      <c r="C4" s="1"/>
      <c r="D4" s="7" t="s">
        <v>6</v>
      </c>
      <c r="E4" s="8">
        <f>B10*D15*D14/(D15+D14*D3)</f>
        <v>62.847738542844375</v>
      </c>
      <c r="F4" s="2"/>
      <c r="G4" s="46"/>
      <c r="H4" s="46"/>
    </row>
    <row r="5" spans="1:28" x14ac:dyDescent="0.3">
      <c r="A5" s="9"/>
      <c r="B5" s="4" t="s">
        <v>7</v>
      </c>
      <c r="C5" s="1"/>
      <c r="D5" s="7" t="s">
        <v>8</v>
      </c>
      <c r="E5" s="8">
        <f>E4*D3</f>
        <v>163.9268845476297</v>
      </c>
      <c r="F5" s="2"/>
      <c r="G5" s="46"/>
      <c r="H5" s="46"/>
    </row>
    <row r="6" spans="1:28" x14ac:dyDescent="0.3">
      <c r="A6" s="10"/>
      <c r="B6" s="4" t="s">
        <v>9</v>
      </c>
      <c r="C6" s="1"/>
      <c r="D6" s="7" t="s">
        <v>10</v>
      </c>
      <c r="E6" s="8">
        <f>E10*B10</f>
        <v>2.06</v>
      </c>
      <c r="F6" s="2"/>
      <c r="G6" s="46"/>
      <c r="H6" s="46"/>
    </row>
    <row r="7" spans="1:28" x14ac:dyDescent="0.3">
      <c r="A7" s="1"/>
      <c r="B7" s="1"/>
      <c r="C7" s="1"/>
      <c r="D7" s="1"/>
      <c r="E7" s="2"/>
      <c r="F7" s="2"/>
      <c r="G7" s="46"/>
      <c r="H7" s="46"/>
    </row>
    <row r="8" spans="1:28" x14ac:dyDescent="0.3">
      <c r="A8" s="47" t="s">
        <v>11</v>
      </c>
      <c r="B8" s="47"/>
      <c r="C8" s="47"/>
      <c r="D8" s="47"/>
      <c r="E8" s="47"/>
      <c r="F8" s="2"/>
      <c r="G8" s="2"/>
      <c r="H8" s="2"/>
    </row>
    <row r="9" spans="1:28" x14ac:dyDescent="0.3">
      <c r="A9" s="11" t="s">
        <v>12</v>
      </c>
      <c r="B9" s="11" t="s">
        <v>13</v>
      </c>
      <c r="C9" s="11" t="s">
        <v>14</v>
      </c>
      <c r="D9" s="11" t="s">
        <v>15</v>
      </c>
      <c r="E9" s="12" t="s">
        <v>16</v>
      </c>
      <c r="F9" s="2"/>
      <c r="G9" s="2"/>
      <c r="H9" s="2"/>
    </row>
    <row r="10" spans="1:28" x14ac:dyDescent="0.3">
      <c r="A10" s="13">
        <v>350</v>
      </c>
      <c r="B10" s="14">
        <v>206</v>
      </c>
      <c r="C10" s="13">
        <v>4</v>
      </c>
      <c r="D10" s="14">
        <v>90</v>
      </c>
      <c r="E10" s="13">
        <v>0.01</v>
      </c>
      <c r="F10" s="2"/>
      <c r="G10" s="2"/>
      <c r="H10" s="2"/>
    </row>
    <row r="11" spans="1:28" x14ac:dyDescent="0.3">
      <c r="A11" s="2"/>
      <c r="B11" s="2"/>
      <c r="C11" s="2"/>
      <c r="D11" s="2"/>
      <c r="E11" s="2"/>
      <c r="F11" s="2"/>
      <c r="G11" s="2"/>
      <c r="H11" s="2"/>
    </row>
    <row r="12" spans="1:28" x14ac:dyDescent="0.3">
      <c r="A12" s="41" t="s">
        <v>17</v>
      </c>
      <c r="B12" s="41"/>
      <c r="C12" s="41"/>
      <c r="D12" s="41"/>
      <c r="E12" s="41"/>
      <c r="F12" s="41"/>
      <c r="G12" s="41"/>
      <c r="H12" s="41"/>
    </row>
    <row r="13" spans="1:28" x14ac:dyDescent="0.3">
      <c r="A13" s="7"/>
      <c r="B13" s="7" t="s">
        <v>18</v>
      </c>
      <c r="C13" s="7" t="s">
        <v>19</v>
      </c>
      <c r="D13" s="7" t="s">
        <v>20</v>
      </c>
      <c r="E13" s="7" t="s">
        <v>21</v>
      </c>
      <c r="F13" s="7" t="s">
        <v>22</v>
      </c>
      <c r="G13" s="7" t="s">
        <v>23</v>
      </c>
      <c r="H13" s="15" t="s">
        <v>24</v>
      </c>
    </row>
    <row r="14" spans="1:28" ht="15" customHeight="1" x14ac:dyDescent="0.3">
      <c r="A14" s="7" t="s">
        <v>6</v>
      </c>
      <c r="B14" s="8">
        <f>E4</f>
        <v>62.847738542844375</v>
      </c>
      <c r="C14" s="16">
        <v>92.09</v>
      </c>
      <c r="D14" s="16">
        <v>1.26</v>
      </c>
      <c r="E14" s="8">
        <f>B14/D14</f>
        <v>49.879157573686015</v>
      </c>
      <c r="F14" s="8">
        <f>B14/C14</f>
        <v>0.68245996897431183</v>
      </c>
      <c r="G14" s="15">
        <f>E18*D14</f>
        <v>63</v>
      </c>
      <c r="H14" s="8">
        <f>(G14/C14)/($B$18/1000)</f>
        <v>3.3209386764952393</v>
      </c>
      <c r="P14" s="49" t="s">
        <v>61</v>
      </c>
      <c r="Q14" s="49"/>
      <c r="R14" s="49"/>
      <c r="S14" s="49"/>
      <c r="T14" s="49"/>
    </row>
    <row r="15" spans="1:28" x14ac:dyDescent="0.3">
      <c r="A15" s="7" t="s">
        <v>25</v>
      </c>
      <c r="B15" s="8">
        <f>E5</f>
        <v>163.9268845476297</v>
      </c>
      <c r="C15" s="16">
        <v>60.05</v>
      </c>
      <c r="D15" s="16">
        <v>1.05</v>
      </c>
      <c r="E15" s="8">
        <f>B15/D15</f>
        <v>156.120842426314</v>
      </c>
      <c r="F15" s="8">
        <f>B15/C15</f>
        <v>2.7298398758972473</v>
      </c>
      <c r="G15" s="15">
        <f>E19*D15</f>
        <v>164.85</v>
      </c>
      <c r="H15" s="8">
        <f>(G15/C15)/($B$18/1000)</f>
        <v>13.32627341293259</v>
      </c>
      <c r="P15" s="49"/>
      <c r="Q15" s="49"/>
      <c r="R15" s="49"/>
      <c r="S15" s="49"/>
      <c r="T15" s="49"/>
    </row>
    <row r="16" spans="1:28" x14ac:dyDescent="0.3">
      <c r="A16" s="2"/>
      <c r="B16" s="2"/>
      <c r="C16" s="2"/>
      <c r="D16" s="2"/>
      <c r="E16" s="2"/>
      <c r="F16" s="2"/>
      <c r="G16" s="2"/>
      <c r="H16" s="8">
        <f>H14/H15</f>
        <v>0.24920235189474707</v>
      </c>
      <c r="K16" s="29" t="s">
        <v>42</v>
      </c>
      <c r="L16" s="29" t="s">
        <v>43</v>
      </c>
      <c r="M16" s="29" t="s">
        <v>44</v>
      </c>
      <c r="N16" s="29" t="s">
        <v>45</v>
      </c>
      <c r="O16" s="29" t="s">
        <v>46</v>
      </c>
      <c r="P16" s="29" t="s">
        <v>47</v>
      </c>
      <c r="Q16" s="29" t="s">
        <v>48</v>
      </c>
      <c r="R16" s="29" t="s">
        <v>49</v>
      </c>
      <c r="S16" s="29" t="s">
        <v>50</v>
      </c>
      <c r="T16" s="29" t="s">
        <v>51</v>
      </c>
      <c r="U16" s="29" t="s">
        <v>52</v>
      </c>
      <c r="V16" s="29" t="s">
        <v>53</v>
      </c>
      <c r="W16" s="29" t="s">
        <v>54</v>
      </c>
      <c r="X16" s="29" t="s">
        <v>55</v>
      </c>
      <c r="Y16" s="29" t="s">
        <v>56</v>
      </c>
      <c r="Z16" s="29" t="s">
        <v>57</v>
      </c>
      <c r="AA16" s="29" t="s">
        <v>58</v>
      </c>
      <c r="AB16" s="29" t="s">
        <v>59</v>
      </c>
    </row>
    <row r="17" spans="1:28" x14ac:dyDescent="0.3">
      <c r="A17" s="7" t="s">
        <v>26</v>
      </c>
      <c r="B17" s="15">
        <f>F15/F14</f>
        <v>4</v>
      </c>
      <c r="C17" s="2"/>
      <c r="D17" s="2"/>
      <c r="E17" s="2" t="s">
        <v>27</v>
      </c>
      <c r="F17" s="2"/>
      <c r="G17" s="2"/>
      <c r="H17" s="2"/>
      <c r="K17" s="29">
        <v>0</v>
      </c>
      <c r="L17" s="29">
        <v>1321041</v>
      </c>
      <c r="M17" s="29">
        <v>723071</v>
      </c>
      <c r="N17" s="29">
        <v>134895</v>
      </c>
      <c r="O17" s="29">
        <v>0</v>
      </c>
      <c r="P17" s="29">
        <v>0</v>
      </c>
      <c r="Q17" s="36">
        <v>10</v>
      </c>
      <c r="R17" s="36">
        <v>0.14000000000000001</v>
      </c>
      <c r="S17" s="36">
        <f>(R17+Q17)</f>
        <v>10.14</v>
      </c>
      <c r="T17" s="29">
        <f>F14</f>
        <v>0.68245996897431183</v>
      </c>
      <c r="U17" s="29">
        <f t="shared" ref="U17:U22" si="0">(((0.0035162*L17-1678.55)*$S$29/1000)/($R$29*60.05))</f>
        <v>3.578000815152611</v>
      </c>
      <c r="V17" s="29">
        <f t="shared" ref="V17:V22" si="1">(((0.00294*M17-5.4)*$S$29/1000)/($R$29*92.09))</f>
        <v>1.6677122863968474</v>
      </c>
      <c r="W17" s="29">
        <f t="shared" ref="W17:W22" si="2">(((0.00293*N17-56.06)*$S$29/1000)/($R$29*134.12))</f>
        <v>0.18316800674236289</v>
      </c>
      <c r="X17" s="29">
        <f t="shared" ref="X17:X22" si="3">(((0.00291*O17-126.03)*$S$29/1000)/($R$29*176.17))</f>
        <v>-5.181457034195866E-2</v>
      </c>
      <c r="Y17" s="29">
        <f t="shared" ref="Y17:Y22" si="4">(((0.00291*P17-78.21)*$S$29/1000)/($R$29*218.21))</f>
        <v>-2.5959573674114708E-2</v>
      </c>
      <c r="Z17" s="29">
        <f t="shared" ref="Z17:Z22" si="5">W17+(2*X17)+(3*Y17)</f>
        <v>1.660145036101443E-3</v>
      </c>
      <c r="AA17" s="29">
        <f t="shared" ref="AA17:AA22" si="6">($U$17-U17)/$U$17</f>
        <v>0</v>
      </c>
      <c r="AB17" s="29">
        <f t="shared" ref="AB17:AB22" si="7">($V$17-V17)/$V$17</f>
        <v>0</v>
      </c>
    </row>
    <row r="18" spans="1:28" x14ac:dyDescent="0.3">
      <c r="A18" s="7" t="s">
        <v>28</v>
      </c>
      <c r="B18" s="8">
        <f>E14+E15</f>
        <v>206</v>
      </c>
      <c r="C18" s="2"/>
      <c r="D18" s="2" t="s">
        <v>6</v>
      </c>
      <c r="E18" s="9">
        <v>50</v>
      </c>
      <c r="F18" s="2"/>
      <c r="G18" s="2"/>
      <c r="H18" s="2">
        <f>H15/H14</f>
        <v>4.0128032195392738</v>
      </c>
      <c r="K18" s="29">
        <v>30</v>
      </c>
      <c r="L18" s="29">
        <v>1321041</v>
      </c>
      <c r="M18" s="29">
        <v>723071</v>
      </c>
      <c r="N18" s="29">
        <v>134895</v>
      </c>
      <c r="O18" s="29">
        <v>113941</v>
      </c>
      <c r="P18" s="29">
        <v>33860</v>
      </c>
      <c r="Q18" s="36"/>
      <c r="R18" s="36"/>
      <c r="S18" s="36"/>
      <c r="T18" s="29">
        <f>F18</f>
        <v>0</v>
      </c>
      <c r="U18" s="29">
        <f t="shared" si="0"/>
        <v>3.578000815152611</v>
      </c>
      <c r="V18" s="29">
        <f t="shared" si="1"/>
        <v>1.6677122863968474</v>
      </c>
      <c r="W18" s="29">
        <f t="shared" si="2"/>
        <v>0.18316800674236289</v>
      </c>
      <c r="X18" s="29">
        <f t="shared" si="3"/>
        <v>8.4502731266066056E-2</v>
      </c>
      <c r="Y18" s="29">
        <f t="shared" si="4"/>
        <v>6.7455060983194403E-3</v>
      </c>
      <c r="Z18" s="29">
        <f t="shared" si="5"/>
        <v>0.37240998756945332</v>
      </c>
      <c r="AA18" s="29">
        <f t="shared" si="6"/>
        <v>0</v>
      </c>
      <c r="AB18" s="29">
        <f t="shared" si="7"/>
        <v>0</v>
      </c>
    </row>
    <row r="19" spans="1:28" x14ac:dyDescent="0.3">
      <c r="A19" s="2"/>
      <c r="B19" s="2"/>
      <c r="C19" s="2"/>
      <c r="D19" s="2" t="s">
        <v>29</v>
      </c>
      <c r="E19" s="9">
        <v>157</v>
      </c>
      <c r="F19" s="2"/>
      <c r="G19" s="2"/>
      <c r="H19" s="2"/>
      <c r="K19" s="29">
        <v>60</v>
      </c>
      <c r="L19" s="29">
        <v>1774250</v>
      </c>
      <c r="M19" s="29">
        <v>1244901</v>
      </c>
      <c r="N19" s="29">
        <v>136204</v>
      </c>
      <c r="O19" s="29">
        <v>92816</v>
      </c>
      <c r="P19" s="29">
        <v>26309</v>
      </c>
      <c r="Q19" s="36"/>
      <c r="R19" s="36"/>
      <c r="S19" s="36"/>
      <c r="T19" s="29">
        <f>F19</f>
        <v>0</v>
      </c>
      <c r="U19" s="29">
        <f t="shared" si="0"/>
        <v>5.5000699415962897</v>
      </c>
      <c r="V19" s="29">
        <f t="shared" si="1"/>
        <v>2.874341455687758</v>
      </c>
      <c r="W19" s="29">
        <f t="shared" si="2"/>
        <v>0.18523921439222871</v>
      </c>
      <c r="X19" s="29">
        <f t="shared" si="3"/>
        <v>5.9229098451982265E-2</v>
      </c>
      <c r="Y19" s="29">
        <f t="shared" si="4"/>
        <v>-5.4793918702167397E-4</v>
      </c>
      <c r="Z19" s="29">
        <f t="shared" si="5"/>
        <v>0.30205359373512819</v>
      </c>
      <c r="AA19" s="29">
        <f t="shared" si="6"/>
        <v>-0.537190801719171</v>
      </c>
      <c r="AB19" s="29">
        <f t="shared" si="7"/>
        <v>-0.72352358325420529</v>
      </c>
    </row>
    <row r="20" spans="1:28" x14ac:dyDescent="0.3">
      <c r="A20" s="41" t="s">
        <v>30</v>
      </c>
      <c r="B20" s="41"/>
      <c r="C20" s="2"/>
      <c r="D20" s="2"/>
      <c r="E20" s="2"/>
      <c r="F20" s="2"/>
      <c r="G20" s="2"/>
      <c r="H20" s="2"/>
      <c r="K20" s="29">
        <v>120</v>
      </c>
      <c r="L20" s="29">
        <v>1261393</v>
      </c>
      <c r="M20" s="29">
        <v>656780</v>
      </c>
      <c r="N20" s="29">
        <v>143898</v>
      </c>
      <c r="O20" s="29">
        <v>110038</v>
      </c>
      <c r="P20" s="29">
        <v>26666</v>
      </c>
      <c r="Q20" s="36"/>
      <c r="R20" s="36"/>
      <c r="S20" s="36"/>
      <c r="T20" s="29">
        <f>F20</f>
        <v>0</v>
      </c>
      <c r="U20" s="29">
        <f t="shared" si="0"/>
        <v>3.3250323629503984</v>
      </c>
      <c r="V20" s="29">
        <f t="shared" si="1"/>
        <v>1.5144273961807548</v>
      </c>
      <c r="W20" s="29">
        <f t="shared" si="2"/>
        <v>0.19741329510885769</v>
      </c>
      <c r="X20" s="29">
        <f t="shared" si="3"/>
        <v>7.9833240668510122E-2</v>
      </c>
      <c r="Y20" s="29">
        <f t="shared" si="4"/>
        <v>-2.0311598918473168E-4</v>
      </c>
      <c r="Z20" s="29">
        <f t="shared" si="5"/>
        <v>0.35647042847832378</v>
      </c>
      <c r="AA20" s="29">
        <f t="shared" si="6"/>
        <v>7.070106052824443E-2</v>
      </c>
      <c r="AB20" s="29">
        <f t="shared" si="7"/>
        <v>9.1913270332300623E-2</v>
      </c>
    </row>
    <row r="21" spans="1:28" x14ac:dyDescent="0.3">
      <c r="A21" s="7" t="s">
        <v>31</v>
      </c>
      <c r="B21" s="17">
        <v>2</v>
      </c>
      <c r="C21" s="2"/>
      <c r="D21" s="2"/>
      <c r="E21" s="2"/>
      <c r="F21" s="2"/>
      <c r="G21" s="2"/>
      <c r="H21" s="2"/>
      <c r="K21" s="29">
        <v>240</v>
      </c>
      <c r="L21" s="29">
        <v>1162728</v>
      </c>
      <c r="M21" s="29">
        <v>681715</v>
      </c>
      <c r="N21" s="29">
        <v>143302</v>
      </c>
      <c r="O21" s="29">
        <v>96916</v>
      </c>
      <c r="P21" s="29">
        <v>21629</v>
      </c>
      <c r="Q21" s="36"/>
      <c r="R21" s="36"/>
      <c r="S21" s="36"/>
      <c r="T21" s="29">
        <f>F21</f>
        <v>0</v>
      </c>
      <c r="U21" s="29">
        <f t="shared" si="0"/>
        <v>2.9065919737247539</v>
      </c>
      <c r="V21" s="29">
        <f t="shared" si="1"/>
        <v>1.5720846760156986</v>
      </c>
      <c r="W21" s="29">
        <f t="shared" si="2"/>
        <v>0.1964702548038004</v>
      </c>
      <c r="X21" s="29">
        <f t="shared" si="3"/>
        <v>6.4134276891638753E-2</v>
      </c>
      <c r="Y21" s="29">
        <f t="shared" si="4"/>
        <v>-5.0683105200102123E-3</v>
      </c>
      <c r="Z21" s="29">
        <f t="shared" si="5"/>
        <v>0.30953387702704727</v>
      </c>
      <c r="AA21" s="29">
        <f t="shared" si="6"/>
        <v>0.18764915831893678</v>
      </c>
      <c r="AB21" s="29">
        <f t="shared" si="7"/>
        <v>5.7340592355864792E-2</v>
      </c>
    </row>
    <row r="22" spans="1:28" x14ac:dyDescent="0.3">
      <c r="A22" s="7" t="s">
        <v>32</v>
      </c>
      <c r="B22" s="17"/>
      <c r="C22" s="2"/>
      <c r="D22" s="2"/>
      <c r="E22" s="2"/>
      <c r="F22" s="2"/>
      <c r="G22" s="2"/>
      <c r="H22" s="2"/>
      <c r="K22" s="29">
        <v>360</v>
      </c>
      <c r="L22" s="29">
        <v>1073685</v>
      </c>
      <c r="M22" s="29">
        <v>525057</v>
      </c>
      <c r="N22" s="29">
        <v>137629</v>
      </c>
      <c r="O22" s="29">
        <v>96748</v>
      </c>
      <c r="P22" s="29">
        <v>20346</v>
      </c>
      <c r="Q22" s="36"/>
      <c r="R22" s="36"/>
      <c r="S22" s="36"/>
      <c r="T22" s="29">
        <f>F22</f>
        <v>0</v>
      </c>
      <c r="U22" s="29">
        <f t="shared" si="0"/>
        <v>2.5289586936576662</v>
      </c>
      <c r="V22" s="29">
        <f t="shared" si="1"/>
        <v>1.2098438841816235</v>
      </c>
      <c r="W22" s="29">
        <f t="shared" si="2"/>
        <v>0.18749396679945465</v>
      </c>
      <c r="X22" s="29">
        <f t="shared" si="3"/>
        <v>6.3933284214111361E-2</v>
      </c>
      <c r="Y22" s="29">
        <f t="shared" si="4"/>
        <v>-6.3075490713401872E-3</v>
      </c>
      <c r="Z22" s="29">
        <f t="shared" si="5"/>
        <v>0.29643788801365684</v>
      </c>
      <c r="AA22" s="29">
        <f t="shared" si="6"/>
        <v>0.29319225335341365</v>
      </c>
      <c r="AB22" s="29">
        <f t="shared" si="7"/>
        <v>0.27454879714561864</v>
      </c>
    </row>
    <row r="23" spans="1:28" x14ac:dyDescent="0.3">
      <c r="A23" s="18"/>
      <c r="B23" s="2"/>
      <c r="C23" s="2"/>
      <c r="D23" s="2"/>
      <c r="E23" s="2"/>
      <c r="F23" s="2"/>
      <c r="G23" s="2"/>
      <c r="H23" s="2"/>
    </row>
    <row r="24" spans="1:28" ht="15" customHeight="1" x14ac:dyDescent="0.3">
      <c r="A24" s="2"/>
      <c r="B24" s="19" t="s">
        <v>33</v>
      </c>
      <c r="C24" s="19" t="s">
        <v>34</v>
      </c>
      <c r="D24" s="42" t="s">
        <v>35</v>
      </c>
      <c r="E24" s="42" t="s">
        <v>36</v>
      </c>
      <c r="F24" s="42" t="s">
        <v>37</v>
      </c>
      <c r="G24" s="2"/>
      <c r="H24" s="2"/>
    </row>
    <row r="25" spans="1:28" x14ac:dyDescent="0.3">
      <c r="A25" s="2"/>
      <c r="B25" s="20" t="s">
        <v>38</v>
      </c>
      <c r="C25" s="21" t="str">
        <f>B25</f>
        <v>Volume gasto (ml)</v>
      </c>
      <c r="D25" s="42"/>
      <c r="E25" s="42"/>
      <c r="F25" s="42"/>
      <c r="G25" s="2"/>
      <c r="H25" s="2"/>
    </row>
    <row r="26" spans="1:28" x14ac:dyDescent="0.3">
      <c r="A26" s="22" t="s">
        <v>39</v>
      </c>
      <c r="B26" s="23">
        <v>6.5</v>
      </c>
      <c r="C26" s="24">
        <v>6.5</v>
      </c>
      <c r="D26" s="25">
        <f>(B26+C26)/2</f>
        <v>6.5</v>
      </c>
      <c r="E26" s="26">
        <f>(D26/1000)*$B$21*$C$15</f>
        <v>0.78064999999999996</v>
      </c>
      <c r="F26" s="27">
        <f>(E26/$C$15)/0.001</f>
        <v>13</v>
      </c>
      <c r="G26" s="1"/>
      <c r="H26" s="28"/>
      <c r="P26" s="48" t="s">
        <v>62</v>
      </c>
      <c r="Q26" s="48"/>
      <c r="R26" s="48"/>
      <c r="S26" s="48"/>
      <c r="T26" s="48"/>
    </row>
    <row r="27" spans="1:28" x14ac:dyDescent="0.3">
      <c r="A27" s="2"/>
      <c r="B27" s="2"/>
      <c r="C27" s="2"/>
      <c r="D27" s="2"/>
      <c r="E27" s="2"/>
      <c r="F27" s="2"/>
      <c r="G27" s="2"/>
      <c r="H27" s="28"/>
      <c r="P27" s="48"/>
      <c r="Q27" s="48"/>
      <c r="R27" s="48"/>
      <c r="S27" s="48"/>
      <c r="T27" s="48"/>
    </row>
    <row r="28" spans="1:28" ht="15" customHeight="1" x14ac:dyDescent="0.3">
      <c r="A28" s="2"/>
      <c r="B28" s="19" t="s">
        <v>33</v>
      </c>
      <c r="C28" s="19" t="s">
        <v>34</v>
      </c>
      <c r="D28" s="38" t="s">
        <v>35</v>
      </c>
      <c r="E28" s="38" t="s">
        <v>36</v>
      </c>
      <c r="F28" s="39" t="s">
        <v>40</v>
      </c>
      <c r="G28" s="39" t="s">
        <v>24</v>
      </c>
      <c r="H28" s="40" t="s">
        <v>41</v>
      </c>
      <c r="K28" s="29" t="s">
        <v>42</v>
      </c>
      <c r="L28" s="29" t="s">
        <v>43</v>
      </c>
      <c r="M28" s="29" t="s">
        <v>44</v>
      </c>
      <c r="N28" s="29" t="s">
        <v>45</v>
      </c>
      <c r="O28" s="29" t="s">
        <v>46</v>
      </c>
      <c r="P28" s="29" t="s">
        <v>47</v>
      </c>
      <c r="Q28" s="29" t="s">
        <v>48</v>
      </c>
      <c r="R28" s="29" t="s">
        <v>49</v>
      </c>
      <c r="S28" s="29" t="s">
        <v>50</v>
      </c>
      <c r="T28" s="29" t="s">
        <v>51</v>
      </c>
      <c r="U28" s="29" t="s">
        <v>52</v>
      </c>
      <c r="V28" s="29" t="s">
        <v>53</v>
      </c>
      <c r="W28" s="29" t="s">
        <v>54</v>
      </c>
      <c r="X28" s="29" t="s">
        <v>55</v>
      </c>
      <c r="Y28" s="29" t="s">
        <v>56</v>
      </c>
      <c r="Z28" s="29" t="s">
        <v>57</v>
      </c>
      <c r="AA28" s="29" t="s">
        <v>58</v>
      </c>
      <c r="AB28" s="29" t="s">
        <v>59</v>
      </c>
    </row>
    <row r="29" spans="1:28" x14ac:dyDescent="0.3">
      <c r="A29" s="30" t="s">
        <v>42</v>
      </c>
      <c r="B29" s="15" t="s">
        <v>38</v>
      </c>
      <c r="C29" s="31" t="str">
        <f>B29</f>
        <v>Volume gasto (ml)</v>
      </c>
      <c r="D29" s="38"/>
      <c r="E29" s="38"/>
      <c r="F29" s="38"/>
      <c r="G29" s="38"/>
      <c r="H29" s="40"/>
      <c r="K29" s="29">
        <v>0</v>
      </c>
      <c r="L29" s="29">
        <v>3606807</v>
      </c>
      <c r="M29" s="29">
        <v>1672837</v>
      </c>
      <c r="N29" s="29">
        <v>1658</v>
      </c>
      <c r="O29" s="29">
        <v>0</v>
      </c>
      <c r="P29" s="29">
        <v>0</v>
      </c>
      <c r="Q29" s="36">
        <v>10</v>
      </c>
      <c r="R29" s="36">
        <v>0.14000000000000001</v>
      </c>
      <c r="S29" s="36">
        <f>(R29+Q29)</f>
        <v>10.14</v>
      </c>
      <c r="T29" s="29">
        <f>F26</f>
        <v>13</v>
      </c>
      <c r="U29" s="29">
        <f t="shared" ref="U29:U34" si="8">(((0.0035162*L29-1678.55)*$S$29/1000)/($R$29*60.05))</f>
        <v>13.271983632957776</v>
      </c>
      <c r="V29" s="29">
        <f t="shared" ref="V29:V34" si="9">(((0.00294*M29-5.4)*$S$29/1000)/($R$29*92.09))</f>
        <v>3.8638592300389369</v>
      </c>
      <c r="W29" s="29">
        <f t="shared" ref="W29:W34" si="10">(((0.00293*N29-56.06)*$S$29/1000)/($R$29*134.12))</f>
        <v>-2.7650552192066809E-2</v>
      </c>
      <c r="X29" s="29">
        <f t="shared" ref="X29:X34" si="11">(((0.00291*O29-126.03)*$S$29/1000)/($R$29*176.17))</f>
        <v>-5.181457034195866E-2</v>
      </c>
      <c r="Y29" s="29">
        <f t="shared" ref="Y29:Y34" si="12">(((0.00291*P29-78.21)*$S$29/1000)/($R$29*218.21))</f>
        <v>-2.5959573674114708E-2</v>
      </c>
      <c r="Z29" s="29">
        <f t="shared" ref="Z29:Z34" si="13">W29+(2*X29)+(3*Y29)</f>
        <v>-0.20915841389832823</v>
      </c>
      <c r="AA29" s="29">
        <f t="shared" ref="AA29:AA34" si="14">($U$29-U29)/$U$29</f>
        <v>0</v>
      </c>
      <c r="AB29" s="32">
        <f t="shared" ref="AB29:AB34" si="15">($V$29-V29)/$V$29</f>
        <v>0</v>
      </c>
    </row>
    <row r="30" spans="1:28" x14ac:dyDescent="0.3">
      <c r="A30" s="33">
        <v>30</v>
      </c>
      <c r="B30" s="34">
        <v>6.1</v>
      </c>
      <c r="C30" s="34">
        <v>6.15</v>
      </c>
      <c r="D30" s="15">
        <f>(B30+C30)/2</f>
        <v>6.125</v>
      </c>
      <c r="E30" s="8">
        <f>(D30/1000)*$B$21*$C$15</f>
        <v>0.7356125</v>
      </c>
      <c r="F30" s="15">
        <f>(E30/$C$15)/0.001</f>
        <v>12.25</v>
      </c>
      <c r="G30" s="37">
        <f>F26</f>
        <v>13</v>
      </c>
      <c r="H30" s="35">
        <f>($G$30-F30)/$G$30</f>
        <v>5.7692307692307696E-2</v>
      </c>
      <c r="K30" s="29">
        <v>30</v>
      </c>
      <c r="L30" s="29">
        <v>3594583</v>
      </c>
      <c r="M30" s="29">
        <v>1517698</v>
      </c>
      <c r="N30" s="29">
        <v>292118</v>
      </c>
      <c r="O30" s="29">
        <v>97884</v>
      </c>
      <c r="P30" s="29">
        <v>19609</v>
      </c>
      <c r="Q30" s="36"/>
      <c r="R30" s="36"/>
      <c r="S30" s="36"/>
      <c r="T30" s="29">
        <f>F30</f>
        <v>12.25</v>
      </c>
      <c r="U30" s="29">
        <f t="shared" si="8"/>
        <v>13.220141385778996</v>
      </c>
      <c r="V30" s="29">
        <f t="shared" si="9"/>
        <v>3.5051308267378185</v>
      </c>
      <c r="W30" s="29">
        <f t="shared" si="10"/>
        <v>0.43193919110817602</v>
      </c>
      <c r="X30" s="29">
        <f t="shared" si="11"/>
        <v>6.5292377557391798E-2</v>
      </c>
      <c r="Y30" s="29">
        <f t="shared" si="12"/>
        <v>-7.0194109671548374E-3</v>
      </c>
      <c r="Z30" s="29">
        <f t="shared" si="13"/>
        <v>0.54146571332149518</v>
      </c>
      <c r="AA30" s="29">
        <f t="shared" si="14"/>
        <v>3.9061415845964165E-3</v>
      </c>
      <c r="AB30" s="32">
        <f t="shared" si="15"/>
        <v>9.2841996031388402E-2</v>
      </c>
    </row>
    <row r="31" spans="1:28" x14ac:dyDescent="0.3">
      <c r="A31" s="33">
        <v>60</v>
      </c>
      <c r="B31" s="34">
        <v>5.2</v>
      </c>
      <c r="C31" s="34">
        <v>5.4</v>
      </c>
      <c r="D31" s="15">
        <f>(B31+C31)/2</f>
        <v>5.3000000000000007</v>
      </c>
      <c r="E31" s="8">
        <f>(D31/1000)*$B$21*$C$15</f>
        <v>0.63653000000000004</v>
      </c>
      <c r="F31" s="15">
        <f>(E31/$C$15)/0.001</f>
        <v>10.600000000000001</v>
      </c>
      <c r="G31" s="37"/>
      <c r="H31" s="35">
        <f>($G$30-F31)/$G$30</f>
        <v>0.18461538461538451</v>
      </c>
      <c r="K31" s="29">
        <v>60</v>
      </c>
      <c r="L31" s="29">
        <v>3292781</v>
      </c>
      <c r="M31" s="29">
        <v>1209812</v>
      </c>
      <c r="N31" s="29">
        <v>514242</v>
      </c>
      <c r="O31" s="29">
        <v>197017</v>
      </c>
      <c r="P31" s="29">
        <v>36111</v>
      </c>
      <c r="Q31" s="36"/>
      <c r="R31" s="36"/>
      <c r="S31" s="36"/>
      <c r="T31" s="29">
        <f>F31</f>
        <v>10.600000000000001</v>
      </c>
      <c r="U31" s="29">
        <f t="shared" si="8"/>
        <v>11.940192606079222</v>
      </c>
      <c r="V31" s="29">
        <f t="shared" si="9"/>
        <v>2.7932050493461364</v>
      </c>
      <c r="W31" s="29">
        <f t="shared" si="10"/>
        <v>0.78340208493460006</v>
      </c>
      <c r="X31" s="29">
        <f t="shared" si="11"/>
        <v>0.18389361030335957</v>
      </c>
      <c r="Y31" s="29">
        <f t="shared" si="12"/>
        <v>8.9197274381820867E-3</v>
      </c>
      <c r="Z31" s="29">
        <f t="shared" si="13"/>
        <v>1.1779484878558655</v>
      </c>
      <c r="AA31" s="29">
        <f t="shared" si="14"/>
        <v>0.10034604198662295</v>
      </c>
      <c r="AB31" s="32">
        <f t="shared" si="15"/>
        <v>0.27709451016464987</v>
      </c>
    </row>
    <row r="32" spans="1:28" x14ac:dyDescent="0.3">
      <c r="A32" s="33">
        <v>120</v>
      </c>
      <c r="B32" s="34">
        <v>5.5</v>
      </c>
      <c r="C32" s="34">
        <v>5.4</v>
      </c>
      <c r="D32" s="15">
        <f>B32</f>
        <v>5.5</v>
      </c>
      <c r="E32" s="8">
        <f>(D32/1000)*$B$21*$C$15</f>
        <v>0.66054999999999997</v>
      </c>
      <c r="F32" s="15">
        <f>(E32/$C$15)/0.001</f>
        <v>11</v>
      </c>
      <c r="G32" s="37"/>
      <c r="H32" s="35">
        <f>($G$30-F32)/$G$30</f>
        <v>0.15384615384615385</v>
      </c>
      <c r="K32" s="29">
        <v>120</v>
      </c>
      <c r="L32" s="29">
        <v>2974047</v>
      </c>
      <c r="M32" s="29">
        <v>811366</v>
      </c>
      <c r="N32" s="29">
        <v>860596</v>
      </c>
      <c r="O32" s="29">
        <v>467172</v>
      </c>
      <c r="P32" s="29">
        <v>79941</v>
      </c>
      <c r="Q32" s="36"/>
      <c r="R32" s="36"/>
      <c r="S32" s="36"/>
      <c r="T32" s="29">
        <f>F32</f>
        <v>11</v>
      </c>
      <c r="U32" s="29">
        <f t="shared" si="8"/>
        <v>10.588434849838947</v>
      </c>
      <c r="V32" s="29">
        <f t="shared" si="9"/>
        <v>1.8718770958224096</v>
      </c>
      <c r="W32" s="29">
        <f t="shared" si="10"/>
        <v>1.3314319201993952</v>
      </c>
      <c r="X32" s="29">
        <f t="shared" si="11"/>
        <v>0.50710299600223796</v>
      </c>
      <c r="Y32" s="29">
        <f t="shared" si="12"/>
        <v>5.1254743575978576E-2</v>
      </c>
      <c r="Z32" s="29">
        <f t="shared" si="13"/>
        <v>2.4994021429318067</v>
      </c>
      <c r="AA32" s="29">
        <f t="shared" si="14"/>
        <v>0.20219651088589963</v>
      </c>
      <c r="AB32" s="32">
        <f t="shared" si="15"/>
        <v>0.51554210845213777</v>
      </c>
    </row>
    <row r="33" spans="1:28" x14ac:dyDescent="0.3">
      <c r="A33" s="33">
        <v>240</v>
      </c>
      <c r="B33" s="34">
        <v>4.8</v>
      </c>
      <c r="C33" s="34">
        <v>4.8</v>
      </c>
      <c r="D33" s="15">
        <f>(B33+C33)/2</f>
        <v>4.8</v>
      </c>
      <c r="E33" s="8">
        <f>(D33/1000)*$B$21*$C$15</f>
        <v>0.57647999999999988</v>
      </c>
      <c r="F33" s="15">
        <f>(E33/$C$15)/0.001</f>
        <v>9.6</v>
      </c>
      <c r="G33" s="37"/>
      <c r="H33" s="35">
        <f>($G$30-F33)/$G$30</f>
        <v>0.26153846153846155</v>
      </c>
      <c r="K33" s="29">
        <v>240</v>
      </c>
      <c r="L33" s="29">
        <v>2664405</v>
      </c>
      <c r="M33" s="29">
        <v>444181</v>
      </c>
      <c r="N33" s="29">
        <v>1102261</v>
      </c>
      <c r="O33" s="29">
        <v>889042</v>
      </c>
      <c r="P33" s="29">
        <v>146836</v>
      </c>
      <c r="Q33" s="36"/>
      <c r="R33" s="36"/>
      <c r="S33" s="36"/>
      <c r="T33" s="29">
        <f>F33</f>
        <v>9.6</v>
      </c>
      <c r="U33" s="29">
        <f t="shared" si="8"/>
        <v>9.2752364613464984</v>
      </c>
      <c r="V33" s="29">
        <f t="shared" si="9"/>
        <v>1.0228340520608719</v>
      </c>
      <c r="W33" s="29">
        <f t="shared" si="10"/>
        <v>1.7138141942290488</v>
      </c>
      <c r="X33" s="29">
        <f t="shared" si="11"/>
        <v>1.0118219297431863</v>
      </c>
      <c r="Y33" s="29">
        <f t="shared" si="12"/>
        <v>0.11586804278971106</v>
      </c>
      <c r="Z33" s="29">
        <f t="shared" si="13"/>
        <v>4.0850621820845552</v>
      </c>
      <c r="AA33" s="29">
        <f t="shared" si="14"/>
        <v>0.30114165916286378</v>
      </c>
      <c r="AB33" s="32">
        <f t="shared" si="15"/>
        <v>0.73528175040409938</v>
      </c>
    </row>
    <row r="34" spans="1:28" x14ac:dyDescent="0.3">
      <c r="A34" s="33">
        <v>360</v>
      </c>
      <c r="B34" s="34">
        <v>4.0999999999999996</v>
      </c>
      <c r="C34" s="34">
        <v>4.0999999999999996</v>
      </c>
      <c r="D34" s="15">
        <f>(B34+C34)/2</f>
        <v>4.0999999999999996</v>
      </c>
      <c r="E34" s="8">
        <f>(D34/1000)*$B$21*$C$15</f>
        <v>0.4924099999999999</v>
      </c>
      <c r="F34" s="15">
        <f>(E34/$C$15)/0.001</f>
        <v>8.1999999999999993</v>
      </c>
      <c r="G34" s="37"/>
      <c r="H34" s="35">
        <f>($G$30-F34)/$G$30</f>
        <v>0.36923076923076931</v>
      </c>
      <c r="K34" s="29">
        <v>360</v>
      </c>
      <c r="L34" s="29">
        <v>2199975</v>
      </c>
      <c r="M34" s="29">
        <v>203622</v>
      </c>
      <c r="N34" s="29">
        <v>1025514</v>
      </c>
      <c r="O34" s="29">
        <v>1225045</v>
      </c>
      <c r="P34" s="29">
        <v>207282</v>
      </c>
      <c r="Q34" s="36"/>
      <c r="R34" s="36"/>
      <c r="S34" s="36"/>
      <c r="T34" s="29">
        <f>F34</f>
        <v>8.1999999999999993</v>
      </c>
      <c r="U34" s="29">
        <f t="shared" si="8"/>
        <v>7.3055788323183064</v>
      </c>
      <c r="V34" s="29">
        <f t="shared" si="9"/>
        <v>0.46658871098149329</v>
      </c>
      <c r="W34" s="29">
        <f t="shared" si="10"/>
        <v>1.592378767564228</v>
      </c>
      <c r="X34" s="29">
        <f t="shared" si="11"/>
        <v>1.4138108739529187</v>
      </c>
      <c r="Y34" s="29">
        <f t="shared" si="12"/>
        <v>0.17425230894223778</v>
      </c>
      <c r="Z34" s="29">
        <f t="shared" si="13"/>
        <v>4.942757442296779</v>
      </c>
      <c r="AA34" s="29">
        <f t="shared" si="14"/>
        <v>0.44954883652985672</v>
      </c>
      <c r="AB34" s="32">
        <f t="shared" si="15"/>
        <v>0.87924282868431736</v>
      </c>
    </row>
  </sheetData>
  <mergeCells count="24">
    <mergeCell ref="A1:B1"/>
    <mergeCell ref="D2:E2"/>
    <mergeCell ref="D3:E3"/>
    <mergeCell ref="G3:H7"/>
    <mergeCell ref="A8:E8"/>
    <mergeCell ref="A12:H12"/>
    <mergeCell ref="P14:T15"/>
    <mergeCell ref="Q17:Q22"/>
    <mergeCell ref="R17:R22"/>
    <mergeCell ref="S17:S22"/>
    <mergeCell ref="A20:B20"/>
    <mergeCell ref="D24:D25"/>
    <mergeCell ref="E24:E25"/>
    <mergeCell ref="F24:F25"/>
    <mergeCell ref="P26:T27"/>
    <mergeCell ref="D28:D29"/>
    <mergeCell ref="E28:E29"/>
    <mergeCell ref="F28:F29"/>
    <mergeCell ref="G28:G29"/>
    <mergeCell ref="H28:H29"/>
    <mergeCell ref="Q29:Q34"/>
    <mergeCell ref="R29:R34"/>
    <mergeCell ref="S29:S34"/>
    <mergeCell ref="G30:G34"/>
  </mergeCells>
  <pageMargins left="0.51180555555555496" right="0.51180555555555496" top="0.78749999999999998" bottom="0.78749999999999998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I10" zoomScaleNormal="100" workbookViewId="0">
      <selection activeCell="W17" sqref="W17:W22"/>
    </sheetView>
  </sheetViews>
  <sheetFormatPr defaultRowHeight="14.4" x14ac:dyDescent="0.3"/>
  <cols>
    <col min="1" max="1" width="24.6640625" customWidth="1"/>
    <col min="2" max="2" width="21" customWidth="1"/>
    <col min="3" max="3" width="18.33203125" customWidth="1"/>
    <col min="4" max="4" width="22.33203125" customWidth="1"/>
    <col min="5" max="5" width="18.109375" customWidth="1"/>
    <col min="6" max="6" width="21" customWidth="1"/>
    <col min="7" max="8" width="24.44140625" customWidth="1"/>
    <col min="9" max="10" width="8.6640625" customWidth="1"/>
    <col min="11" max="11" width="12.44140625" customWidth="1"/>
    <col min="12" max="17" width="8.6640625" customWidth="1"/>
    <col min="18" max="18" width="14.44140625" customWidth="1"/>
    <col min="19" max="1025" width="8.6640625" customWidth="1"/>
  </cols>
  <sheetData>
    <row r="1" spans="1:28" x14ac:dyDescent="0.3">
      <c r="A1" s="43" t="s">
        <v>0</v>
      </c>
      <c r="B1" s="43"/>
      <c r="C1" s="1"/>
      <c r="D1" s="1"/>
      <c r="E1" s="1"/>
      <c r="F1" s="2"/>
      <c r="G1" s="2"/>
      <c r="H1" s="2"/>
    </row>
    <row r="2" spans="1:28" x14ac:dyDescent="0.3">
      <c r="A2" s="3"/>
      <c r="B2" s="4" t="s">
        <v>1</v>
      </c>
      <c r="C2" s="1"/>
      <c r="D2" s="44" t="s">
        <v>2</v>
      </c>
      <c r="E2" s="44"/>
      <c r="F2" s="2"/>
      <c r="G2" s="2"/>
      <c r="H2" s="2"/>
    </row>
    <row r="3" spans="1:28" ht="15" customHeight="1" x14ac:dyDescent="0.3">
      <c r="A3" s="5"/>
      <c r="B3" s="4" t="s">
        <v>3</v>
      </c>
      <c r="C3" s="1"/>
      <c r="D3" s="45">
        <f>C10*C15/C14</f>
        <v>2.6083179498316862</v>
      </c>
      <c r="E3" s="45"/>
      <c r="F3" s="2"/>
      <c r="G3" s="46" t="s">
        <v>63</v>
      </c>
      <c r="H3" s="46"/>
    </row>
    <row r="4" spans="1:28" x14ac:dyDescent="0.3">
      <c r="A4" s="6"/>
      <c r="B4" s="4" t="s">
        <v>5</v>
      </c>
      <c r="C4" s="1"/>
      <c r="D4" s="7" t="s">
        <v>6</v>
      </c>
      <c r="E4" s="8">
        <f>B10*D15*D14/(D15+D14*D3)</f>
        <v>62.847738542844375</v>
      </c>
      <c r="F4" s="2"/>
      <c r="G4" s="46"/>
      <c r="H4" s="46"/>
    </row>
    <row r="5" spans="1:28" x14ac:dyDescent="0.3">
      <c r="A5" s="9"/>
      <c r="B5" s="4" t="s">
        <v>7</v>
      </c>
      <c r="C5" s="1"/>
      <c r="D5" s="7" t="s">
        <v>8</v>
      </c>
      <c r="E5" s="8">
        <f>E4*D3</f>
        <v>163.9268845476297</v>
      </c>
      <c r="F5" s="2"/>
      <c r="G5" s="46"/>
      <c r="H5" s="46"/>
    </row>
    <row r="6" spans="1:28" x14ac:dyDescent="0.3">
      <c r="A6" s="10"/>
      <c r="B6" s="4" t="s">
        <v>9</v>
      </c>
      <c r="C6" s="1"/>
      <c r="D6" s="7" t="s">
        <v>10</v>
      </c>
      <c r="E6" s="8">
        <f>E10*B10</f>
        <v>2.06</v>
      </c>
      <c r="F6" s="2"/>
      <c r="G6" s="46"/>
      <c r="H6" s="46"/>
    </row>
    <row r="7" spans="1:28" x14ac:dyDescent="0.3">
      <c r="A7" s="1"/>
      <c r="B7" s="1"/>
      <c r="C7" s="1"/>
      <c r="D7" s="1"/>
      <c r="E7" s="2"/>
      <c r="F7" s="2"/>
      <c r="G7" s="46"/>
      <c r="H7" s="46"/>
    </row>
    <row r="8" spans="1:28" x14ac:dyDescent="0.3">
      <c r="A8" s="47" t="s">
        <v>11</v>
      </c>
      <c r="B8" s="47"/>
      <c r="C8" s="47"/>
      <c r="D8" s="47"/>
      <c r="E8" s="47"/>
      <c r="F8" s="2"/>
      <c r="G8" s="2"/>
      <c r="H8" s="2"/>
    </row>
    <row r="9" spans="1:28" x14ac:dyDescent="0.3">
      <c r="A9" s="11" t="s">
        <v>12</v>
      </c>
      <c r="B9" s="11" t="s">
        <v>13</v>
      </c>
      <c r="C9" s="11" t="s">
        <v>14</v>
      </c>
      <c r="D9" s="11" t="s">
        <v>15</v>
      </c>
      <c r="E9" s="12" t="s">
        <v>16</v>
      </c>
      <c r="F9" s="2"/>
      <c r="G9" s="2"/>
      <c r="H9" s="2"/>
    </row>
    <row r="10" spans="1:28" x14ac:dyDescent="0.3">
      <c r="A10" s="13">
        <v>350</v>
      </c>
      <c r="B10" s="14">
        <v>206</v>
      </c>
      <c r="C10" s="13">
        <v>4</v>
      </c>
      <c r="D10" s="14">
        <v>90</v>
      </c>
      <c r="E10" s="13">
        <v>0.01</v>
      </c>
      <c r="F10" s="2"/>
      <c r="G10" s="2"/>
      <c r="H10" s="2"/>
    </row>
    <row r="11" spans="1:28" x14ac:dyDescent="0.3">
      <c r="A11" s="2"/>
      <c r="B11" s="2"/>
      <c r="C11" s="2"/>
      <c r="D11" s="2"/>
      <c r="E11" s="2"/>
      <c r="F11" s="2"/>
      <c r="G11" s="2"/>
      <c r="H11" s="2"/>
    </row>
    <row r="12" spans="1:28" x14ac:dyDescent="0.3">
      <c r="A12" s="41" t="s">
        <v>17</v>
      </c>
      <c r="B12" s="41"/>
      <c r="C12" s="41"/>
      <c r="D12" s="41"/>
      <c r="E12" s="41"/>
      <c r="F12" s="41"/>
      <c r="G12" s="41"/>
      <c r="H12" s="41"/>
    </row>
    <row r="13" spans="1:28" x14ac:dyDescent="0.3">
      <c r="A13" s="7"/>
      <c r="B13" s="7" t="s">
        <v>18</v>
      </c>
      <c r="C13" s="7" t="s">
        <v>19</v>
      </c>
      <c r="D13" s="7" t="s">
        <v>20</v>
      </c>
      <c r="E13" s="7" t="s">
        <v>21</v>
      </c>
      <c r="F13" s="7" t="s">
        <v>22</v>
      </c>
      <c r="G13" s="7" t="s">
        <v>23</v>
      </c>
      <c r="H13" s="15" t="s">
        <v>24</v>
      </c>
    </row>
    <row r="14" spans="1:28" ht="15" customHeight="1" x14ac:dyDescent="0.3">
      <c r="A14" s="7" t="s">
        <v>6</v>
      </c>
      <c r="B14" s="8">
        <f>E4</f>
        <v>62.847738542844375</v>
      </c>
      <c r="C14" s="16">
        <v>92.09</v>
      </c>
      <c r="D14" s="16">
        <v>1.26</v>
      </c>
      <c r="E14" s="8">
        <f>B14/D14</f>
        <v>49.879157573686015</v>
      </c>
      <c r="F14" s="8">
        <f>B14/C14</f>
        <v>0.68245996897431183</v>
      </c>
      <c r="G14" s="15">
        <f>E18*D14</f>
        <v>62.37</v>
      </c>
      <c r="H14" s="8">
        <f>(G14/C14)/($B$18/1000)</f>
        <v>3.287729289730287</v>
      </c>
      <c r="P14" s="49" t="s">
        <v>61</v>
      </c>
      <c r="Q14" s="49"/>
      <c r="R14" s="49"/>
      <c r="S14" s="49"/>
      <c r="T14" s="49"/>
    </row>
    <row r="15" spans="1:28" x14ac:dyDescent="0.3">
      <c r="A15" s="7" t="s">
        <v>25</v>
      </c>
      <c r="B15" s="8">
        <f>E5</f>
        <v>163.9268845476297</v>
      </c>
      <c r="C15" s="16">
        <v>60.05</v>
      </c>
      <c r="D15" s="16">
        <v>1.05</v>
      </c>
      <c r="E15" s="8">
        <f>B15/D15</f>
        <v>156.120842426314</v>
      </c>
      <c r="F15" s="8">
        <f>B15/C15</f>
        <v>2.7298398758972473</v>
      </c>
      <c r="G15" s="15">
        <f>E19*D15</f>
        <v>163.80000000000001</v>
      </c>
      <c r="H15" s="8">
        <f>(G15/C15)/($B$18/1000)</f>
        <v>13.241392690557225</v>
      </c>
      <c r="P15" s="49"/>
      <c r="Q15" s="49"/>
      <c r="R15" s="49"/>
      <c r="S15" s="49"/>
      <c r="T15" s="49"/>
    </row>
    <row r="16" spans="1:28" x14ac:dyDescent="0.3">
      <c r="A16" s="2"/>
      <c r="B16" s="2"/>
      <c r="C16" s="2"/>
      <c r="D16" s="2"/>
      <c r="E16" s="2"/>
      <c r="F16" s="2"/>
      <c r="G16" s="2"/>
      <c r="H16" s="8">
        <f>H14/H15</f>
        <v>0.248291804839747</v>
      </c>
      <c r="K16" s="29" t="s">
        <v>42</v>
      </c>
      <c r="L16" s="29" t="s">
        <v>43</v>
      </c>
      <c r="M16" s="29" t="s">
        <v>44</v>
      </c>
      <c r="N16" s="29" t="s">
        <v>45</v>
      </c>
      <c r="O16" s="29" t="s">
        <v>46</v>
      </c>
      <c r="P16" s="29" t="s">
        <v>47</v>
      </c>
      <c r="Q16" s="29" t="s">
        <v>48</v>
      </c>
      <c r="R16" s="29" t="s">
        <v>49</v>
      </c>
      <c r="S16" s="29" t="s">
        <v>50</v>
      </c>
      <c r="T16" s="29" t="s">
        <v>51</v>
      </c>
      <c r="U16" s="29" t="s">
        <v>52</v>
      </c>
      <c r="V16" s="29" t="s">
        <v>53</v>
      </c>
      <c r="W16" s="29" t="s">
        <v>54</v>
      </c>
      <c r="X16" s="29" t="s">
        <v>55</v>
      </c>
      <c r="Y16" s="29" t="s">
        <v>56</v>
      </c>
      <c r="Z16" s="29" t="s">
        <v>57</v>
      </c>
      <c r="AA16" s="29" t="s">
        <v>58</v>
      </c>
      <c r="AB16" s="29" t="s">
        <v>59</v>
      </c>
    </row>
    <row r="17" spans="1:28" x14ac:dyDescent="0.3">
      <c r="A17" s="7" t="s">
        <v>26</v>
      </c>
      <c r="B17" s="15">
        <f>F15/F14</f>
        <v>4</v>
      </c>
      <c r="C17" s="2"/>
      <c r="D17" s="2"/>
      <c r="E17" s="2" t="s">
        <v>27</v>
      </c>
      <c r="F17" s="2"/>
      <c r="G17" s="2"/>
      <c r="H17" s="2"/>
      <c r="K17" s="29">
        <v>0</v>
      </c>
      <c r="L17" s="29">
        <v>830561</v>
      </c>
      <c r="M17" s="29">
        <v>198120</v>
      </c>
      <c r="N17" s="29">
        <f>37058+8191</f>
        <v>45249</v>
      </c>
      <c r="O17" s="29">
        <v>13740</v>
      </c>
      <c r="P17" s="29">
        <v>1585</v>
      </c>
      <c r="Q17" s="36">
        <v>10</v>
      </c>
      <c r="R17" s="36">
        <v>0.14000000000000001</v>
      </c>
      <c r="S17" s="36">
        <f>(R17+Q17)</f>
        <v>10.14</v>
      </c>
      <c r="T17" s="29">
        <f>F14</f>
        <v>0.68245996897431183</v>
      </c>
      <c r="U17" s="29">
        <f t="shared" ref="U17:U22" si="0">(((0.0035162*L17-1678.55)*$S$29/1000)/($R$29*60.05))</f>
        <v>1.4978645752763178</v>
      </c>
      <c r="V17" s="29">
        <f t="shared" ref="V17:V22" si="1">(((0.00294*M17-5.4)*$S$29/1000)/($R$29*92.09))</f>
        <v>0.45386641887594431</v>
      </c>
      <c r="W17" s="29">
        <f t="shared" ref="W17:W22" si="2">(((0.00293*N17-56.06)*$S$29/1000)/($R$29*134.12))</f>
        <v>4.1322719515572398E-2</v>
      </c>
      <c r="X17" s="29">
        <f t="shared" ref="X17:X22" si="3">(((0.00291*O17-126.03)*$S$29/1000)/($R$29*176.17))</f>
        <v>-3.5376240644182981E-2</v>
      </c>
      <c r="Y17" s="29">
        <f t="shared" ref="Y17:Y22" si="4">(((0.00291*P17-78.21)*$S$29/1000)/($R$29*218.21))</f>
        <v>-2.4428635947023502E-2</v>
      </c>
      <c r="Z17" s="29">
        <f t="shared" ref="Z17:Z22" si="5">W17+(2*X17)+(3*Y17)</f>
        <v>-0.10271566961386407</v>
      </c>
      <c r="AA17" s="29">
        <f t="shared" ref="AA17:AA22" si="6">($U$17-U17)/$U$17</f>
        <v>0</v>
      </c>
      <c r="AB17" s="29">
        <f t="shared" ref="AB17:AB22" si="7">($V$17-V17)/$V$17</f>
        <v>0</v>
      </c>
    </row>
    <row r="18" spans="1:28" x14ac:dyDescent="0.3">
      <c r="A18" s="7" t="s">
        <v>28</v>
      </c>
      <c r="B18" s="8">
        <f>E14+E15</f>
        <v>206</v>
      </c>
      <c r="C18" s="2"/>
      <c r="D18" s="2" t="s">
        <v>6</v>
      </c>
      <c r="E18" s="9">
        <v>49.5</v>
      </c>
      <c r="F18" s="2"/>
      <c r="G18" s="2"/>
      <c r="H18" s="2">
        <f>H15/H14</f>
        <v>4.0275191549129943</v>
      </c>
      <c r="K18" s="29">
        <v>30</v>
      </c>
      <c r="L18" s="29">
        <v>830561</v>
      </c>
      <c r="M18" s="29">
        <v>198120</v>
      </c>
      <c r="N18" s="29">
        <f>37058+8191</f>
        <v>45249</v>
      </c>
      <c r="O18" s="29">
        <v>13740</v>
      </c>
      <c r="P18" s="29">
        <v>1585</v>
      </c>
      <c r="Q18" s="36"/>
      <c r="R18" s="36"/>
      <c r="S18" s="36"/>
      <c r="T18" s="29">
        <f>F18</f>
        <v>0</v>
      </c>
      <c r="U18" s="29">
        <f t="shared" si="0"/>
        <v>1.4978645752763178</v>
      </c>
      <c r="V18" s="29">
        <f t="shared" si="1"/>
        <v>0.45386641887594431</v>
      </c>
      <c r="W18" s="29">
        <f t="shared" si="2"/>
        <v>4.1322719515572398E-2</v>
      </c>
      <c r="X18" s="29">
        <f t="shared" si="3"/>
        <v>-3.5376240644182981E-2</v>
      </c>
      <c r="Y18" s="29">
        <f t="shared" si="4"/>
        <v>-2.4428635947023502E-2</v>
      </c>
      <c r="Z18" s="29">
        <f t="shared" si="5"/>
        <v>-0.10271566961386407</v>
      </c>
      <c r="AA18" s="29">
        <f t="shared" si="6"/>
        <v>0</v>
      </c>
      <c r="AB18" s="29">
        <f t="shared" si="7"/>
        <v>0</v>
      </c>
    </row>
    <row r="19" spans="1:28" x14ac:dyDescent="0.3">
      <c r="A19" s="2"/>
      <c r="B19" s="2"/>
      <c r="C19" s="2"/>
      <c r="D19" s="2" t="s">
        <v>29</v>
      </c>
      <c r="E19" s="9">
        <v>156</v>
      </c>
      <c r="F19" s="2"/>
      <c r="G19" s="2"/>
      <c r="H19" s="2"/>
      <c r="K19" s="29">
        <v>60</v>
      </c>
      <c r="L19" s="29">
        <v>950972</v>
      </c>
      <c r="M19" s="29">
        <v>151480</v>
      </c>
      <c r="N19" s="29">
        <f>54219+10016</f>
        <v>64235</v>
      </c>
      <c r="O19" s="29">
        <v>23528</v>
      </c>
      <c r="P19" s="29">
        <v>3178</v>
      </c>
      <c r="Q19" s="36"/>
      <c r="R19" s="36"/>
      <c r="S19" s="36"/>
      <c r="T19" s="29">
        <f>F19</f>
        <v>0</v>
      </c>
      <c r="U19" s="29">
        <f t="shared" si="0"/>
        <v>2.0085302186863334</v>
      </c>
      <c r="V19" s="29">
        <f t="shared" si="1"/>
        <v>0.34602059848285066</v>
      </c>
      <c r="W19" s="29">
        <f t="shared" si="2"/>
        <v>7.1363932991777082E-2</v>
      </c>
      <c r="X19" s="29">
        <f t="shared" si="3"/>
        <v>-2.3666024408242045E-2</v>
      </c>
      <c r="Y19" s="29">
        <f t="shared" si="4"/>
        <v>-2.2889971089448562E-2</v>
      </c>
      <c r="Z19" s="29">
        <f t="shared" si="5"/>
        <v>-4.4638029093052686E-2</v>
      </c>
      <c r="AA19" s="29">
        <f t="shared" si="6"/>
        <v>-0.34092911458020886</v>
      </c>
      <c r="AB19" s="29">
        <f t="shared" si="7"/>
        <v>0.23761577395434325</v>
      </c>
    </row>
    <row r="20" spans="1:28" x14ac:dyDescent="0.3">
      <c r="A20" s="41" t="s">
        <v>30</v>
      </c>
      <c r="B20" s="41"/>
      <c r="C20" s="2"/>
      <c r="D20" s="2"/>
      <c r="E20" s="2"/>
      <c r="F20" s="2"/>
      <c r="G20" s="2"/>
      <c r="H20" s="2"/>
      <c r="K20" s="29">
        <v>120</v>
      </c>
      <c r="L20" s="29">
        <v>1455713</v>
      </c>
      <c r="M20" s="29">
        <v>220337</v>
      </c>
      <c r="N20" s="29">
        <f>131772+5536</f>
        <v>137308</v>
      </c>
      <c r="O20" s="29">
        <v>48942</v>
      </c>
      <c r="P20" s="29">
        <v>6686</v>
      </c>
      <c r="Q20" s="36"/>
      <c r="R20" s="36"/>
      <c r="S20" s="36"/>
      <c r="T20" s="29">
        <f>F20</f>
        <v>0</v>
      </c>
      <c r="U20" s="29">
        <f t="shared" si="0"/>
        <v>4.1491476665973597</v>
      </c>
      <c r="V20" s="29">
        <f t="shared" si="1"/>
        <v>0.50523885866310903</v>
      </c>
      <c r="W20" s="29">
        <f t="shared" si="2"/>
        <v>0.18698605415193215</v>
      </c>
      <c r="X20" s="29">
        <f t="shared" si="3"/>
        <v>6.7389036077165742E-3</v>
      </c>
      <c r="Y20" s="29">
        <f t="shared" si="4"/>
        <v>-1.9501624372328098E-2</v>
      </c>
      <c r="Z20" s="29">
        <f t="shared" si="5"/>
        <v>0.141958988250381</v>
      </c>
      <c r="AA20" s="29">
        <f t="shared" si="6"/>
        <v>-1.7700419217351127</v>
      </c>
      <c r="AB20" s="29">
        <f t="shared" si="7"/>
        <v>-0.11318845733155329</v>
      </c>
    </row>
    <row r="21" spans="1:28" x14ac:dyDescent="0.3">
      <c r="A21" s="7" t="s">
        <v>31</v>
      </c>
      <c r="B21" s="17">
        <v>2</v>
      </c>
      <c r="C21" s="2"/>
      <c r="D21" s="2"/>
      <c r="E21" s="2"/>
      <c r="F21" s="2"/>
      <c r="G21" s="2"/>
      <c r="H21" s="2"/>
      <c r="K21" s="29">
        <v>240</v>
      </c>
      <c r="L21" s="29">
        <v>1325310</v>
      </c>
      <c r="M21" s="29">
        <v>165724</v>
      </c>
      <c r="N21" s="29">
        <f>180419+1100</f>
        <v>181519</v>
      </c>
      <c r="O21" s="29">
        <v>101754</v>
      </c>
      <c r="P21" s="29">
        <v>16426</v>
      </c>
      <c r="Q21" s="36"/>
      <c r="R21" s="36"/>
      <c r="S21" s="36"/>
      <c r="T21" s="29">
        <f>F21</f>
        <v>0</v>
      </c>
      <c r="U21" s="29">
        <f t="shared" si="0"/>
        <v>3.5961057360628055</v>
      </c>
      <c r="V21" s="29">
        <f t="shared" si="1"/>
        <v>0.37895704500255956</v>
      </c>
      <c r="W21" s="29">
        <f t="shared" si="2"/>
        <v>0.25694034094201351</v>
      </c>
      <c r="X21" s="29">
        <f t="shared" si="3"/>
        <v>6.9922387450433415E-2</v>
      </c>
      <c r="Y21" s="29">
        <f t="shared" si="4"/>
        <v>-1.0093843008373321E-2</v>
      </c>
      <c r="Z21" s="29">
        <f t="shared" si="5"/>
        <v>0.36650358681776041</v>
      </c>
      <c r="AA21" s="29">
        <f t="shared" si="6"/>
        <v>-1.4008216733474828</v>
      </c>
      <c r="AB21" s="29">
        <f t="shared" si="7"/>
        <v>0.16504718295507956</v>
      </c>
    </row>
    <row r="22" spans="1:28" x14ac:dyDescent="0.3">
      <c r="A22" s="7" t="s">
        <v>32</v>
      </c>
      <c r="B22" s="17"/>
      <c r="C22" s="2"/>
      <c r="D22" s="2"/>
      <c r="E22" s="2"/>
      <c r="F22" s="2"/>
      <c r="G22" s="2"/>
      <c r="H22" s="2"/>
      <c r="K22" s="29">
        <v>360</v>
      </c>
      <c r="L22" s="29">
        <v>1297212</v>
      </c>
      <c r="M22" s="29">
        <v>150789</v>
      </c>
      <c r="N22" s="29">
        <f>209120+22251</f>
        <v>231371</v>
      </c>
      <c r="O22" s="29">
        <v>126010</v>
      </c>
      <c r="P22" s="29">
        <v>14791</v>
      </c>
      <c r="Q22" s="36"/>
      <c r="R22" s="36"/>
      <c r="S22" s="36"/>
      <c r="T22" s="29">
        <f>F22</f>
        <v>0</v>
      </c>
      <c r="U22" s="29">
        <f t="shared" si="0"/>
        <v>3.4769415131219219</v>
      </c>
      <c r="V22" s="29">
        <f t="shared" si="1"/>
        <v>0.3444227969843166</v>
      </c>
      <c r="W22" s="29">
        <f t="shared" si="2"/>
        <v>0.33582028269992753</v>
      </c>
      <c r="X22" s="29">
        <f t="shared" si="3"/>
        <v>9.8941901653435388E-2</v>
      </c>
      <c r="Y22" s="29">
        <f t="shared" si="4"/>
        <v>-1.1673075300987906E-2</v>
      </c>
      <c r="Z22" s="29">
        <f t="shared" si="5"/>
        <v>0.49868486010383462</v>
      </c>
      <c r="AA22" s="29">
        <f t="shared" si="6"/>
        <v>-1.3212656007172845</v>
      </c>
      <c r="AB22" s="29">
        <f t="shared" si="7"/>
        <v>0.24113619633432723</v>
      </c>
    </row>
    <row r="23" spans="1:28" x14ac:dyDescent="0.3">
      <c r="A23" s="18"/>
      <c r="B23" s="2"/>
      <c r="C23" s="2"/>
      <c r="D23" s="2"/>
      <c r="E23" s="2"/>
      <c r="F23" s="2"/>
      <c r="G23" s="2"/>
      <c r="H23" s="2"/>
    </row>
    <row r="24" spans="1:28" ht="15" customHeight="1" x14ac:dyDescent="0.3">
      <c r="A24" s="2"/>
      <c r="B24" s="19" t="s">
        <v>33</v>
      </c>
      <c r="C24" s="19" t="s">
        <v>34</v>
      </c>
      <c r="D24" s="42" t="s">
        <v>35</v>
      </c>
      <c r="E24" s="42" t="s">
        <v>36</v>
      </c>
      <c r="F24" s="42" t="s">
        <v>37</v>
      </c>
      <c r="G24" s="2"/>
      <c r="H24" s="2"/>
    </row>
    <row r="25" spans="1:28" x14ac:dyDescent="0.3">
      <c r="A25" s="2"/>
      <c r="B25" s="20" t="s">
        <v>38</v>
      </c>
      <c r="C25" s="21" t="str">
        <f>B25</f>
        <v>Volume gasto (ml)</v>
      </c>
      <c r="D25" s="42"/>
      <c r="E25" s="42"/>
      <c r="F25" s="42"/>
      <c r="G25" s="2"/>
      <c r="H25" s="2"/>
    </row>
    <row r="26" spans="1:28" x14ac:dyDescent="0.3">
      <c r="A26" s="22" t="s">
        <v>39</v>
      </c>
      <c r="B26" s="23">
        <v>7</v>
      </c>
      <c r="C26" s="24">
        <v>6.5</v>
      </c>
      <c r="D26" s="25">
        <f>(B26+C26)/2</f>
        <v>6.75</v>
      </c>
      <c r="E26" s="26">
        <f>(D26/1000)*$B$21*$C$15</f>
        <v>0.81067499999999992</v>
      </c>
      <c r="F26" s="27">
        <f>(E26/$C$15)/0.001</f>
        <v>13.5</v>
      </c>
      <c r="G26" s="1"/>
      <c r="H26" s="28"/>
      <c r="P26" s="48" t="s">
        <v>62</v>
      </c>
      <c r="Q26" s="48"/>
      <c r="R26" s="48"/>
      <c r="S26" s="48"/>
      <c r="T26" s="48"/>
    </row>
    <row r="27" spans="1:28" x14ac:dyDescent="0.3">
      <c r="A27" s="2"/>
      <c r="B27" s="2"/>
      <c r="C27" s="2"/>
      <c r="D27" s="2"/>
      <c r="E27" s="2"/>
      <c r="F27" s="2"/>
      <c r="G27" s="2"/>
      <c r="H27" s="28"/>
      <c r="P27" s="48"/>
      <c r="Q27" s="48"/>
      <c r="R27" s="48"/>
      <c r="S27" s="48"/>
      <c r="T27" s="48"/>
    </row>
    <row r="28" spans="1:28" ht="15" customHeight="1" x14ac:dyDescent="0.3">
      <c r="A28" s="2"/>
      <c r="B28" s="19" t="s">
        <v>33</v>
      </c>
      <c r="C28" s="19" t="s">
        <v>34</v>
      </c>
      <c r="D28" s="38" t="s">
        <v>35</v>
      </c>
      <c r="E28" s="38" t="s">
        <v>36</v>
      </c>
      <c r="F28" s="39" t="s">
        <v>40</v>
      </c>
      <c r="G28" s="39" t="s">
        <v>24</v>
      </c>
      <c r="H28" s="40" t="s">
        <v>41</v>
      </c>
      <c r="K28" s="29" t="s">
        <v>42</v>
      </c>
      <c r="L28" s="29" t="s">
        <v>43</v>
      </c>
      <c r="M28" s="29" t="s">
        <v>44</v>
      </c>
      <c r="N28" s="29" t="s">
        <v>45</v>
      </c>
      <c r="O28" s="29" t="s">
        <v>46</v>
      </c>
      <c r="P28" s="29" t="s">
        <v>47</v>
      </c>
      <c r="Q28" s="29" t="s">
        <v>48</v>
      </c>
      <c r="R28" s="29" t="s">
        <v>49</v>
      </c>
      <c r="S28" s="29" t="s">
        <v>50</v>
      </c>
      <c r="T28" s="29" t="s">
        <v>51</v>
      </c>
      <c r="U28" s="29" t="s">
        <v>52</v>
      </c>
      <c r="V28" s="29" t="s">
        <v>53</v>
      </c>
      <c r="W28" s="29" t="s">
        <v>54</v>
      </c>
      <c r="X28" s="29" t="s">
        <v>55</v>
      </c>
      <c r="Y28" s="29" t="s">
        <v>56</v>
      </c>
      <c r="Z28" s="29" t="s">
        <v>57</v>
      </c>
      <c r="AA28" s="29" t="s">
        <v>58</v>
      </c>
      <c r="AB28" s="29" t="s">
        <v>59</v>
      </c>
    </row>
    <row r="29" spans="1:28" x14ac:dyDescent="0.3">
      <c r="A29" s="30" t="s">
        <v>42</v>
      </c>
      <c r="B29" s="15" t="s">
        <v>38</v>
      </c>
      <c r="C29" s="31" t="str">
        <f>B29</f>
        <v>Volume gasto (ml)</v>
      </c>
      <c r="D29" s="38"/>
      <c r="E29" s="38"/>
      <c r="F29" s="38"/>
      <c r="G29" s="38"/>
      <c r="H29" s="40"/>
      <c r="K29" s="29">
        <v>0</v>
      </c>
      <c r="L29" s="29">
        <v>3638316</v>
      </c>
      <c r="M29" s="29">
        <v>1628976</v>
      </c>
      <c r="N29" s="29">
        <v>5898</v>
      </c>
      <c r="O29" s="29"/>
      <c r="P29" s="29"/>
      <c r="Q29" s="36">
        <v>10</v>
      </c>
      <c r="R29" s="36">
        <v>0.14000000000000001</v>
      </c>
      <c r="S29" s="36">
        <f>(R29+Q29)</f>
        <v>10.14</v>
      </c>
      <c r="T29" s="29">
        <f>F26</f>
        <v>13.5</v>
      </c>
      <c r="U29" s="29">
        <f t="shared" ref="U29:U34" si="8">(((0.0035162*L29-1678.55)*$S$29/1000)/($R$29*60.05))</f>
        <v>13.405613980336387</v>
      </c>
      <c r="V29" s="29">
        <f t="shared" ref="V29:V34" si="9">(((0.00294*M29-5.4)*$S$29/1000)/($R$29*92.09))</f>
        <v>3.7624393001877046</v>
      </c>
      <c r="W29" s="29">
        <f t="shared" ref="W29:W34" si="10">(((0.00293*N29-56.06)*$S$29/1000)/($R$29*134.12))</f>
        <v>-2.0941674854075245E-2</v>
      </c>
      <c r="X29" s="29">
        <f t="shared" ref="X29:X34" si="11">(((0.00291*O29-126.03)*$S$29/1000)/($R$29*176.17))</f>
        <v>-5.181457034195866E-2</v>
      </c>
      <c r="Y29" s="29">
        <f t="shared" ref="Y29:Y34" si="12">(((0.00291*P29-78.21)*$S$29/1000)/($R$29*218.21))</f>
        <v>-2.5959573674114708E-2</v>
      </c>
      <c r="Z29" s="29">
        <f t="shared" ref="Z29:Z34" si="13">W29+(2*X29)+(3*Y29)</f>
        <v>-0.20244953656033671</v>
      </c>
      <c r="AA29" s="29">
        <f t="shared" ref="AA29:AA34" si="14">($U$29-U29)/$U$29</f>
        <v>0</v>
      </c>
      <c r="AB29" s="32">
        <f t="shared" ref="AB29:AB34" si="15">($V$29-V29)/$V$29</f>
        <v>0</v>
      </c>
    </row>
    <row r="30" spans="1:28" x14ac:dyDescent="0.3">
      <c r="A30" s="33">
        <v>30</v>
      </c>
      <c r="B30" s="34">
        <v>6.4</v>
      </c>
      <c r="C30" s="34">
        <v>6.4</v>
      </c>
      <c r="D30" s="15">
        <f>(B30+C30)/2</f>
        <v>6.4</v>
      </c>
      <c r="E30" s="8">
        <f>(D30/1000)*$B$21*$C$15</f>
        <v>0.76863999999999999</v>
      </c>
      <c r="F30" s="15">
        <f>(E30/$C$15)/0.001</f>
        <v>12.8</v>
      </c>
      <c r="G30" s="37">
        <f>F26</f>
        <v>13.5</v>
      </c>
      <c r="H30" s="35">
        <f>($G$30-F30)/$G$30</f>
        <v>5.1851851851851802E-2</v>
      </c>
      <c r="K30" s="29">
        <v>30</v>
      </c>
      <c r="L30" s="29">
        <v>3497754</v>
      </c>
      <c r="M30" s="29">
        <v>1504811</v>
      </c>
      <c r="N30" s="29">
        <f>139805+8520</f>
        <v>148325</v>
      </c>
      <c r="O30" s="29"/>
      <c r="P30" s="29"/>
      <c r="Q30" s="36"/>
      <c r="R30" s="36"/>
      <c r="S30" s="36"/>
      <c r="T30" s="29">
        <f>F30</f>
        <v>12.8</v>
      </c>
      <c r="U30" s="29">
        <f t="shared" si="8"/>
        <v>12.809487512081839</v>
      </c>
      <c r="V30" s="29">
        <f t="shared" si="9"/>
        <v>3.4753321756356352</v>
      </c>
      <c r="W30" s="29">
        <f t="shared" si="10"/>
        <v>0.20441805925397297</v>
      </c>
      <c r="X30" s="29">
        <f t="shared" si="11"/>
        <v>-5.181457034195866E-2</v>
      </c>
      <c r="Y30" s="29">
        <f t="shared" si="12"/>
        <v>-2.5959573674114708E-2</v>
      </c>
      <c r="Z30" s="29">
        <f t="shared" si="13"/>
        <v>2.2910197547711522E-2</v>
      </c>
      <c r="AA30" s="29">
        <f t="shared" si="14"/>
        <v>4.4468419658283298E-2</v>
      </c>
      <c r="AB30" s="32">
        <f t="shared" si="15"/>
        <v>7.6308772486441398E-2</v>
      </c>
    </row>
    <row r="31" spans="1:28" x14ac:dyDescent="0.3">
      <c r="A31" s="33">
        <v>60</v>
      </c>
      <c r="B31" s="34">
        <v>6.35</v>
      </c>
      <c r="C31" s="34">
        <v>6.2</v>
      </c>
      <c r="D31" s="15">
        <f>(B31+C31)/2</f>
        <v>6.2750000000000004</v>
      </c>
      <c r="E31" s="8">
        <f>(D31/1000)*$B$21*$C$15</f>
        <v>0.75362750000000001</v>
      </c>
      <c r="F31" s="15">
        <f>(E31/$C$15)/0.001</f>
        <v>12.55</v>
      </c>
      <c r="G31" s="37"/>
      <c r="H31" s="35">
        <f>($G$30-F31)/$G$30</f>
        <v>7.0370370370370319E-2</v>
      </c>
      <c r="K31" s="29">
        <v>60</v>
      </c>
      <c r="L31" s="29">
        <v>3526764</v>
      </c>
      <c r="M31" s="29">
        <v>1420670</v>
      </c>
      <c r="N31" s="29">
        <f>299857+21919</f>
        <v>321776</v>
      </c>
      <c r="O31" s="29">
        <v>12308</v>
      </c>
      <c r="P31" s="29"/>
      <c r="Q31" s="36"/>
      <c r="R31" s="36"/>
      <c r="S31" s="36"/>
      <c r="T31" s="29">
        <f>F31</f>
        <v>12.55</v>
      </c>
      <c r="U31" s="29">
        <f t="shared" si="8"/>
        <v>12.932519546657787</v>
      </c>
      <c r="V31" s="29">
        <f t="shared" si="9"/>
        <v>3.2807726736267315</v>
      </c>
      <c r="W31" s="29">
        <f t="shared" si="10"/>
        <v>0.47886652226151416</v>
      </c>
      <c r="X31" s="29">
        <f t="shared" si="11"/>
        <v>-3.7089463943106901E-2</v>
      </c>
      <c r="Y31" s="29">
        <f t="shared" si="12"/>
        <v>-2.5959573674114708E-2</v>
      </c>
      <c r="Z31" s="29">
        <f t="shared" si="13"/>
        <v>0.32680887335295622</v>
      </c>
      <c r="AA31" s="29">
        <f t="shared" si="14"/>
        <v>3.5290769551662785E-2</v>
      </c>
      <c r="AB31" s="32">
        <f t="shared" si="15"/>
        <v>0.12801977337865442</v>
      </c>
    </row>
    <row r="32" spans="1:28" x14ac:dyDescent="0.3">
      <c r="A32" s="33">
        <v>120</v>
      </c>
      <c r="B32" s="34">
        <v>6.2</v>
      </c>
      <c r="C32" s="34">
        <v>6</v>
      </c>
      <c r="D32" s="15">
        <f>B32</f>
        <v>6.2</v>
      </c>
      <c r="E32" s="8">
        <f>(D32/1000)*$B$21*$C$15</f>
        <v>0.74461999999999995</v>
      </c>
      <c r="F32" s="15">
        <f>(E32/$C$15)/0.001</f>
        <v>12.399999999999999</v>
      </c>
      <c r="G32" s="37"/>
      <c r="H32" s="35">
        <f>($G$30-F32)/$G$30</f>
        <v>8.1481481481481585E-2</v>
      </c>
      <c r="K32" s="29">
        <v>120</v>
      </c>
      <c r="L32" s="29">
        <v>3278296</v>
      </c>
      <c r="M32" s="29">
        <v>1224608</v>
      </c>
      <c r="N32" s="29">
        <f>569265+46018</f>
        <v>615283</v>
      </c>
      <c r="O32" s="29">
        <v>53536</v>
      </c>
      <c r="P32" s="29"/>
      <c r="Q32" s="36"/>
      <c r="R32" s="36"/>
      <c r="S32" s="36"/>
      <c r="T32" s="29">
        <f>F32</f>
        <v>12.399999999999999</v>
      </c>
      <c r="U32" s="29">
        <f t="shared" si="8"/>
        <v>11.878761409221841</v>
      </c>
      <c r="V32" s="29">
        <f t="shared" si="9"/>
        <v>2.8274178872221265</v>
      </c>
      <c r="W32" s="29">
        <f t="shared" si="10"/>
        <v>0.9432774800072431</v>
      </c>
      <c r="X32" s="29">
        <f t="shared" si="11"/>
        <v>1.2235096230102417E-2</v>
      </c>
      <c r="Y32" s="29">
        <f t="shared" si="12"/>
        <v>-2.5959573674114708E-2</v>
      </c>
      <c r="Z32" s="29">
        <f t="shared" si="13"/>
        <v>0.88986895144510381</v>
      </c>
      <c r="AA32" s="29">
        <f t="shared" si="14"/>
        <v>0.11389650435661974</v>
      </c>
      <c r="AB32" s="32">
        <f t="shared" si="15"/>
        <v>0.24851468379009614</v>
      </c>
    </row>
    <row r="33" spans="1:28" x14ac:dyDescent="0.3">
      <c r="A33" s="33">
        <v>240</v>
      </c>
      <c r="B33" s="34">
        <v>5.8</v>
      </c>
      <c r="C33" s="34">
        <v>5.8</v>
      </c>
      <c r="D33" s="15">
        <f>(B33+C33)/2</f>
        <v>5.8</v>
      </c>
      <c r="E33" s="8">
        <f>(D33/1000)*$B$21*$C$15</f>
        <v>0.69657999999999987</v>
      </c>
      <c r="F33" s="15">
        <f>(E33/$C$15)/0.001</f>
        <v>11.599999999999998</v>
      </c>
      <c r="G33" s="37"/>
      <c r="H33" s="35">
        <f>($G$30-F33)/$G$30</f>
        <v>0.14074074074074089</v>
      </c>
      <c r="K33" s="29">
        <v>240</v>
      </c>
      <c r="L33" s="29">
        <v>2920404</v>
      </c>
      <c r="M33" s="29">
        <v>904502</v>
      </c>
      <c r="N33" s="29">
        <f>897080+80143</f>
        <v>977223</v>
      </c>
      <c r="O33" s="29">
        <v>182381</v>
      </c>
      <c r="P33" s="29">
        <v>4553</v>
      </c>
      <c r="Q33" s="36"/>
      <c r="R33" s="36"/>
      <c r="S33" s="36"/>
      <c r="T33" s="29">
        <f>F33</f>
        <v>11.599999999999998</v>
      </c>
      <c r="U33" s="29">
        <f t="shared" si="8"/>
        <v>10.360933731922447</v>
      </c>
      <c r="V33" s="29">
        <f t="shared" si="9"/>
        <v>2.0872357649504361</v>
      </c>
      <c r="W33" s="29">
        <f t="shared" si="10"/>
        <v>1.5159687686187211</v>
      </c>
      <c r="X33" s="29">
        <f t="shared" si="11"/>
        <v>0.16638331965877118</v>
      </c>
      <c r="Y33" s="29">
        <f t="shared" si="12"/>
        <v>-2.1561870537555563E-2</v>
      </c>
      <c r="Z33" s="29">
        <f t="shared" si="13"/>
        <v>1.7840497963235968</v>
      </c>
      <c r="AA33" s="29">
        <f t="shared" si="14"/>
        <v>0.22711979122179227</v>
      </c>
      <c r="AB33" s="32">
        <f t="shared" si="15"/>
        <v>0.44524400304709078</v>
      </c>
    </row>
    <row r="34" spans="1:28" x14ac:dyDescent="0.3">
      <c r="A34" s="33">
        <v>360</v>
      </c>
      <c r="B34" s="34">
        <v>5.4</v>
      </c>
      <c r="C34" s="34">
        <v>5.4</v>
      </c>
      <c r="D34" s="15">
        <f>(B34+C34)/2</f>
        <v>5.4</v>
      </c>
      <c r="E34" s="8">
        <f>(D34/1000)*$B$21*$C$15</f>
        <v>0.64854000000000001</v>
      </c>
      <c r="F34" s="15">
        <f>(E34/$C$15)/0.001</f>
        <v>10.8</v>
      </c>
      <c r="G34" s="37"/>
      <c r="H34" s="35">
        <f>($G$30-F34)/$G$30</f>
        <v>0.19999999999999996</v>
      </c>
      <c r="K34" s="29">
        <v>360</v>
      </c>
      <c r="L34" s="29">
        <v>2586215</v>
      </c>
      <c r="M34" s="29">
        <v>683192</v>
      </c>
      <c r="N34" s="29">
        <f>1046101+95459</f>
        <v>1141560</v>
      </c>
      <c r="O34" s="29">
        <v>326215</v>
      </c>
      <c r="P34" s="29">
        <v>11572</v>
      </c>
      <c r="Q34" s="36"/>
      <c r="R34" s="36"/>
      <c r="S34" s="36"/>
      <c r="T34" s="29">
        <f>F34</f>
        <v>10.8</v>
      </c>
      <c r="U34" s="29">
        <f t="shared" si="8"/>
        <v>8.9436309879410025</v>
      </c>
      <c r="V34" s="29">
        <f t="shared" si="9"/>
        <v>1.5754999478150253</v>
      </c>
      <c r="W34" s="29">
        <f t="shared" si="10"/>
        <v>1.7759963099143623</v>
      </c>
      <c r="X34" s="29">
        <f t="shared" si="11"/>
        <v>0.33846415763183285</v>
      </c>
      <c r="Y34" s="29">
        <f t="shared" si="12"/>
        <v>-1.4782279429383224E-2</v>
      </c>
      <c r="Z34" s="29">
        <f t="shared" si="13"/>
        <v>2.4085777868898783</v>
      </c>
      <c r="AA34" s="29">
        <f t="shared" si="14"/>
        <v>0.33284435900812204</v>
      </c>
      <c r="AB34" s="32">
        <f t="shared" si="15"/>
        <v>0.58125571680679999</v>
      </c>
    </row>
  </sheetData>
  <mergeCells count="24">
    <mergeCell ref="A1:B1"/>
    <mergeCell ref="D2:E2"/>
    <mergeCell ref="D3:E3"/>
    <mergeCell ref="G3:H7"/>
    <mergeCell ref="A8:E8"/>
    <mergeCell ref="A12:H12"/>
    <mergeCell ref="P14:T15"/>
    <mergeCell ref="Q17:Q22"/>
    <mergeCell ref="R17:R22"/>
    <mergeCell ref="S17:S22"/>
    <mergeCell ref="A20:B20"/>
    <mergeCell ref="D24:D25"/>
    <mergeCell ref="E24:E25"/>
    <mergeCell ref="F24:F25"/>
    <mergeCell ref="P26:T27"/>
    <mergeCell ref="D28:D29"/>
    <mergeCell ref="E28:E29"/>
    <mergeCell ref="F28:F29"/>
    <mergeCell ref="G28:G29"/>
    <mergeCell ref="H28:H29"/>
    <mergeCell ref="Q29:Q34"/>
    <mergeCell ref="R29:R34"/>
    <mergeCell ref="S29:S34"/>
    <mergeCell ref="G30:G34"/>
  </mergeCells>
  <pageMargins left="0.51180555555555496" right="0.51180555555555496" top="0.78749999999999998" bottom="0.78749999999999998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opLeftCell="I11" zoomScaleNormal="100" workbookViewId="0">
      <selection activeCell="U17" sqref="U17:U20"/>
    </sheetView>
  </sheetViews>
  <sheetFormatPr defaultRowHeight="14.4" x14ac:dyDescent="0.3"/>
  <cols>
    <col min="1" max="1" width="24.6640625" customWidth="1"/>
    <col min="2" max="2" width="21" customWidth="1"/>
    <col min="3" max="3" width="18.33203125" customWidth="1"/>
    <col min="4" max="4" width="22.33203125" customWidth="1"/>
    <col min="5" max="5" width="18.109375" customWidth="1"/>
    <col min="6" max="6" width="21" customWidth="1"/>
    <col min="7" max="8" width="24.44140625" customWidth="1"/>
    <col min="9" max="10" width="8.6640625" customWidth="1"/>
    <col min="11" max="11" width="12.44140625" customWidth="1"/>
    <col min="12" max="17" width="8.6640625" customWidth="1"/>
    <col min="18" max="18" width="14.44140625" customWidth="1"/>
    <col min="19" max="1025" width="8.6640625" customWidth="1"/>
  </cols>
  <sheetData>
    <row r="1" spans="1:28" x14ac:dyDescent="0.3">
      <c r="A1" s="43" t="s">
        <v>0</v>
      </c>
      <c r="B1" s="43"/>
      <c r="C1" s="1"/>
      <c r="D1" s="1"/>
      <c r="E1" s="1"/>
      <c r="F1" s="2"/>
      <c r="G1" s="2"/>
      <c r="H1" s="2"/>
    </row>
    <row r="2" spans="1:28" x14ac:dyDescent="0.3">
      <c r="A2" s="3"/>
      <c r="B2" s="4" t="s">
        <v>1</v>
      </c>
      <c r="C2" s="1"/>
      <c r="D2" s="44" t="s">
        <v>2</v>
      </c>
      <c r="E2" s="44"/>
      <c r="F2" s="2"/>
      <c r="G2" s="2"/>
      <c r="H2" s="2"/>
    </row>
    <row r="3" spans="1:28" ht="15" customHeight="1" x14ac:dyDescent="0.3">
      <c r="A3" s="5"/>
      <c r="B3" s="4" t="s">
        <v>3</v>
      </c>
      <c r="C3" s="1"/>
      <c r="D3" s="45">
        <f>C10*C15/C14</f>
        <v>2.6083179498316862</v>
      </c>
      <c r="E3" s="45"/>
      <c r="F3" s="2"/>
      <c r="G3" s="46" t="s">
        <v>64</v>
      </c>
      <c r="H3" s="46"/>
    </row>
    <row r="4" spans="1:28" x14ac:dyDescent="0.3">
      <c r="A4" s="6"/>
      <c r="B4" s="4" t="s">
        <v>5</v>
      </c>
      <c r="C4" s="1"/>
      <c r="D4" s="7" t="s">
        <v>6</v>
      </c>
      <c r="E4" s="8">
        <f>B10*D15*D14/(D15+D14*D3)</f>
        <v>62.847738542844375</v>
      </c>
      <c r="F4" s="2"/>
      <c r="G4" s="46"/>
      <c r="H4" s="46"/>
    </row>
    <row r="5" spans="1:28" x14ac:dyDescent="0.3">
      <c r="A5" s="9"/>
      <c r="B5" s="4" t="s">
        <v>7</v>
      </c>
      <c r="C5" s="1"/>
      <c r="D5" s="7" t="s">
        <v>8</v>
      </c>
      <c r="E5" s="8">
        <f>E4*D3</f>
        <v>163.9268845476297</v>
      </c>
      <c r="F5" s="2"/>
      <c r="G5" s="46"/>
      <c r="H5" s="46"/>
    </row>
    <row r="6" spans="1:28" x14ac:dyDescent="0.3">
      <c r="A6" s="10"/>
      <c r="B6" s="4" t="s">
        <v>9</v>
      </c>
      <c r="C6" s="1"/>
      <c r="D6" s="7" t="s">
        <v>10</v>
      </c>
      <c r="E6" s="8">
        <f>E10*B10</f>
        <v>2.06</v>
      </c>
      <c r="F6" s="2"/>
      <c r="G6" s="46"/>
      <c r="H6" s="46"/>
    </row>
    <row r="7" spans="1:28" x14ac:dyDescent="0.3">
      <c r="A7" s="1"/>
      <c r="B7" s="1"/>
      <c r="C7" s="1"/>
      <c r="D7" s="1"/>
      <c r="E7" s="2"/>
      <c r="F7" s="2"/>
      <c r="G7" s="46"/>
      <c r="H7" s="46"/>
    </row>
    <row r="8" spans="1:28" x14ac:dyDescent="0.3">
      <c r="A8" s="47" t="s">
        <v>11</v>
      </c>
      <c r="B8" s="47"/>
      <c r="C8" s="47"/>
      <c r="D8" s="47"/>
      <c r="E8" s="47"/>
      <c r="F8" s="2"/>
      <c r="G8" s="2"/>
      <c r="H8" s="2"/>
    </row>
    <row r="9" spans="1:28" x14ac:dyDescent="0.3">
      <c r="A9" s="11" t="s">
        <v>12</v>
      </c>
      <c r="B9" s="11" t="s">
        <v>13</v>
      </c>
      <c r="C9" s="11" t="s">
        <v>14</v>
      </c>
      <c r="D9" s="11" t="s">
        <v>15</v>
      </c>
      <c r="E9" s="12" t="s">
        <v>16</v>
      </c>
      <c r="F9" s="2"/>
      <c r="G9" s="2"/>
      <c r="H9" s="2"/>
    </row>
    <row r="10" spans="1:28" x14ac:dyDescent="0.3">
      <c r="A10" s="13">
        <v>350</v>
      </c>
      <c r="B10" s="14">
        <v>206</v>
      </c>
      <c r="C10" s="13">
        <v>4</v>
      </c>
      <c r="D10" s="14">
        <v>90</v>
      </c>
      <c r="E10" s="13">
        <v>0.01</v>
      </c>
      <c r="F10" s="2"/>
      <c r="G10" s="2"/>
      <c r="H10" s="2"/>
    </row>
    <row r="11" spans="1:28" x14ac:dyDescent="0.3">
      <c r="A11" s="2"/>
      <c r="B11" s="2"/>
      <c r="C11" s="2"/>
      <c r="D11" s="2"/>
      <c r="E11" s="2"/>
      <c r="F11" s="2"/>
      <c r="G11" s="2"/>
      <c r="H11" s="2"/>
    </row>
    <row r="12" spans="1:28" x14ac:dyDescent="0.3">
      <c r="A12" s="41" t="s">
        <v>17</v>
      </c>
      <c r="B12" s="41"/>
      <c r="C12" s="41"/>
      <c r="D12" s="41"/>
      <c r="E12" s="41"/>
      <c r="F12" s="41"/>
      <c r="G12" s="41"/>
      <c r="H12" s="41"/>
    </row>
    <row r="13" spans="1:28" x14ac:dyDescent="0.3">
      <c r="A13" s="7"/>
      <c r="B13" s="7" t="s">
        <v>18</v>
      </c>
      <c r="C13" s="7" t="s">
        <v>19</v>
      </c>
      <c r="D13" s="7" t="s">
        <v>20</v>
      </c>
      <c r="E13" s="7" t="s">
        <v>21</v>
      </c>
      <c r="F13" s="7" t="s">
        <v>22</v>
      </c>
      <c r="G13" s="7" t="s">
        <v>23</v>
      </c>
      <c r="H13" s="15" t="s">
        <v>24</v>
      </c>
    </row>
    <row r="14" spans="1:28" ht="15" customHeight="1" x14ac:dyDescent="0.3">
      <c r="A14" s="7" t="s">
        <v>6</v>
      </c>
      <c r="B14" s="8">
        <f>E4</f>
        <v>62.847738542844375</v>
      </c>
      <c r="C14" s="16">
        <v>92.09</v>
      </c>
      <c r="D14" s="16">
        <v>1.26</v>
      </c>
      <c r="E14" s="8">
        <f>B14/D14</f>
        <v>49.879157573686015</v>
      </c>
      <c r="F14" s="8">
        <f>B14/C14</f>
        <v>0.68245996897431183</v>
      </c>
      <c r="G14" s="15">
        <f>E18*D14</f>
        <v>60.480000000000004</v>
      </c>
      <c r="H14" s="8">
        <f>(G14/C14)/($B$18/1000)</f>
        <v>3.18810112943543</v>
      </c>
      <c r="P14" s="49" t="s">
        <v>61</v>
      </c>
      <c r="Q14" s="49"/>
      <c r="R14" s="49"/>
      <c r="S14" s="49"/>
      <c r="T14" s="49"/>
    </row>
    <row r="15" spans="1:28" x14ac:dyDescent="0.3">
      <c r="A15" s="7" t="s">
        <v>25</v>
      </c>
      <c r="B15" s="8">
        <f>E5</f>
        <v>163.9268845476297</v>
      </c>
      <c r="C15" s="16">
        <v>60.05</v>
      </c>
      <c r="D15" s="16">
        <v>1.05</v>
      </c>
      <c r="E15" s="8">
        <f>B15/D15</f>
        <v>156.120842426314</v>
      </c>
      <c r="F15" s="8">
        <f>B15/C15</f>
        <v>2.7298398758972473</v>
      </c>
      <c r="G15" s="15">
        <f>E19*D15</f>
        <v>163.80000000000001</v>
      </c>
      <c r="H15" s="8">
        <f>(G15/C15)/($B$18/1000)</f>
        <v>13.241392690557225</v>
      </c>
      <c r="P15" s="49"/>
      <c r="Q15" s="49"/>
      <c r="R15" s="49"/>
      <c r="S15" s="49"/>
      <c r="T15" s="49"/>
    </row>
    <row r="16" spans="1:28" x14ac:dyDescent="0.3">
      <c r="A16" s="2"/>
      <c r="B16" s="2"/>
      <c r="C16" s="2"/>
      <c r="D16" s="2"/>
      <c r="E16" s="2"/>
      <c r="F16" s="2"/>
      <c r="G16" s="2"/>
      <c r="H16" s="8">
        <f>H14/H15</f>
        <v>0.24076781075369408</v>
      </c>
      <c r="K16" s="29" t="s">
        <v>42</v>
      </c>
      <c r="L16" s="29" t="s">
        <v>43</v>
      </c>
      <c r="M16" s="29" t="s">
        <v>44</v>
      </c>
      <c r="N16" s="29" t="s">
        <v>45</v>
      </c>
      <c r="O16" s="29" t="s">
        <v>46</v>
      </c>
      <c r="P16" s="29" t="s">
        <v>47</v>
      </c>
      <c r="Q16" s="29" t="s">
        <v>48</v>
      </c>
      <c r="R16" s="29" t="s">
        <v>49</v>
      </c>
      <c r="S16" s="29" t="s">
        <v>50</v>
      </c>
      <c r="T16" s="29" t="s">
        <v>51</v>
      </c>
      <c r="U16" s="29" t="s">
        <v>52</v>
      </c>
      <c r="V16" s="29" t="s">
        <v>53</v>
      </c>
      <c r="W16" s="29" t="s">
        <v>54</v>
      </c>
      <c r="X16" s="29" t="s">
        <v>55</v>
      </c>
      <c r="Y16" s="29" t="s">
        <v>56</v>
      </c>
      <c r="Z16" s="29" t="s">
        <v>57</v>
      </c>
      <c r="AA16" s="29" t="s">
        <v>58</v>
      </c>
      <c r="AB16" s="29" t="s">
        <v>59</v>
      </c>
    </row>
    <row r="17" spans="1:28" x14ac:dyDescent="0.3">
      <c r="A17" s="7" t="s">
        <v>26</v>
      </c>
      <c r="B17" s="15">
        <f>F15/F14</f>
        <v>4</v>
      </c>
      <c r="C17" s="2"/>
      <c r="D17" s="2"/>
      <c r="E17" s="2" t="s">
        <v>27</v>
      </c>
      <c r="F17" s="2"/>
      <c r="G17" s="2"/>
      <c r="H17" s="2"/>
      <c r="K17" s="29">
        <v>0</v>
      </c>
      <c r="L17" s="29"/>
      <c r="M17" s="29"/>
      <c r="N17" s="29"/>
      <c r="O17" s="29"/>
      <c r="P17" s="29"/>
      <c r="Q17" s="36">
        <v>10</v>
      </c>
      <c r="R17" s="36">
        <v>0.14000000000000001</v>
      </c>
      <c r="S17" s="36">
        <f>(R17+Q17)</f>
        <v>10.14</v>
      </c>
      <c r="T17" s="29">
        <f>F14</f>
        <v>0.68245996897431183</v>
      </c>
      <c r="U17" s="29">
        <f t="shared" ref="U17:U22" si="0">(((0.0035162*L17-1678.55)*$S$29/1000)/($R$29*60.05))</f>
        <v>-2.0245625074342808</v>
      </c>
      <c r="V17" s="29">
        <f t="shared" ref="V17:V22" si="1">(((0.00294*M17-5.4)*$S$29/1000)/($R$29*92.09))</f>
        <v>-4.2470874765369281E-3</v>
      </c>
      <c r="W17" s="29">
        <f t="shared" ref="W17:W22" si="2">(((0.00293*N17-56.06)*$S$29/1000)/($R$29*134.12))</f>
        <v>-3.0273976396404074E-2</v>
      </c>
      <c r="X17" s="29">
        <f t="shared" ref="X17:X22" si="3">(((0.00291*O17-126.03)*$S$29/1000)/($R$29*176.17))</f>
        <v>-5.181457034195866E-2</v>
      </c>
      <c r="Y17" s="29">
        <f t="shared" ref="Y17:Y22" si="4">(((0.00291*P17-78.21)*$S$29/1000)/($R$29*218.21))</f>
        <v>-2.5959573674114708E-2</v>
      </c>
      <c r="Z17" s="29">
        <f t="shared" ref="Z17:Z22" si="5">W17+(2*X17)+(3*Y17)</f>
        <v>-0.21178183810266554</v>
      </c>
      <c r="AA17" s="29">
        <f t="shared" ref="AA17:AA22" si="6">($U$17-U17)/$U$17</f>
        <v>0</v>
      </c>
      <c r="AB17" s="29">
        <f t="shared" ref="AB17:AB22" si="7">($V$17-V17)/$V$17</f>
        <v>0</v>
      </c>
    </row>
    <row r="18" spans="1:28" x14ac:dyDescent="0.3">
      <c r="A18" s="7" t="s">
        <v>28</v>
      </c>
      <c r="B18" s="8">
        <f>E14+E15</f>
        <v>206</v>
      </c>
      <c r="C18" s="2"/>
      <c r="D18" s="2" t="s">
        <v>6</v>
      </c>
      <c r="E18" s="9">
        <v>48</v>
      </c>
      <c r="F18" s="2"/>
      <c r="G18" s="2"/>
      <c r="H18" s="2">
        <f>H15/H14</f>
        <v>4.1533791285040254</v>
      </c>
      <c r="K18" s="29">
        <v>30</v>
      </c>
      <c r="L18" s="29"/>
      <c r="M18" s="29"/>
      <c r="N18" s="29"/>
      <c r="O18" s="29"/>
      <c r="P18" s="29"/>
      <c r="Q18" s="36"/>
      <c r="R18" s="36"/>
      <c r="S18" s="36"/>
      <c r="T18" s="29">
        <f>F18</f>
        <v>0</v>
      </c>
      <c r="U18" s="29">
        <f t="shared" si="0"/>
        <v>-2.0245625074342808</v>
      </c>
      <c r="V18" s="29">
        <f t="shared" si="1"/>
        <v>-4.2470874765369281E-3</v>
      </c>
      <c r="W18" s="29">
        <f t="shared" si="2"/>
        <v>-3.0273976396404074E-2</v>
      </c>
      <c r="X18" s="29">
        <f t="shared" si="3"/>
        <v>-5.181457034195866E-2</v>
      </c>
      <c r="Y18" s="29">
        <f t="shared" si="4"/>
        <v>-2.5959573674114708E-2</v>
      </c>
      <c r="Z18" s="29">
        <f t="shared" si="5"/>
        <v>-0.21178183810266554</v>
      </c>
      <c r="AA18" s="29">
        <f t="shared" si="6"/>
        <v>0</v>
      </c>
      <c r="AB18" s="29">
        <f t="shared" si="7"/>
        <v>0</v>
      </c>
    </row>
    <row r="19" spans="1:28" x14ac:dyDescent="0.3">
      <c r="A19" s="2"/>
      <c r="B19" s="2"/>
      <c r="C19" s="2"/>
      <c r="D19" s="2" t="s">
        <v>29</v>
      </c>
      <c r="E19" s="9">
        <v>156</v>
      </c>
      <c r="F19" s="2"/>
      <c r="G19" s="2"/>
      <c r="H19" s="2"/>
      <c r="K19" s="29">
        <v>60</v>
      </c>
      <c r="L19" s="29"/>
      <c r="M19" s="29"/>
      <c r="N19" s="29"/>
      <c r="O19" s="29"/>
      <c r="P19" s="29"/>
      <c r="Q19" s="36"/>
      <c r="R19" s="36"/>
      <c r="S19" s="36"/>
      <c r="T19" s="29">
        <f>F19</f>
        <v>0</v>
      </c>
      <c r="U19" s="29">
        <f t="shared" si="0"/>
        <v>-2.0245625074342808</v>
      </c>
      <c r="V19" s="29">
        <f t="shared" si="1"/>
        <v>-4.2470874765369281E-3</v>
      </c>
      <c r="W19" s="29">
        <f t="shared" si="2"/>
        <v>-3.0273976396404074E-2</v>
      </c>
      <c r="X19" s="29">
        <f t="shared" si="3"/>
        <v>-5.181457034195866E-2</v>
      </c>
      <c r="Y19" s="29">
        <f t="shared" si="4"/>
        <v>-2.5959573674114708E-2</v>
      </c>
      <c r="Z19" s="29">
        <f t="shared" si="5"/>
        <v>-0.21178183810266554</v>
      </c>
      <c r="AA19" s="29">
        <f t="shared" si="6"/>
        <v>0</v>
      </c>
      <c r="AB19" s="29">
        <f t="shared" si="7"/>
        <v>0</v>
      </c>
    </row>
    <row r="20" spans="1:28" x14ac:dyDescent="0.3">
      <c r="A20" s="41" t="s">
        <v>30</v>
      </c>
      <c r="B20" s="41"/>
      <c r="C20" s="2"/>
      <c r="D20" s="2"/>
      <c r="E20" s="2"/>
      <c r="F20" s="2"/>
      <c r="G20" s="2"/>
      <c r="H20" s="2"/>
      <c r="K20" s="29">
        <v>120</v>
      </c>
      <c r="L20" s="29"/>
      <c r="M20" s="29"/>
      <c r="N20" s="29"/>
      <c r="O20" s="29"/>
      <c r="P20" s="29"/>
      <c r="Q20" s="36"/>
      <c r="R20" s="36"/>
      <c r="S20" s="36"/>
      <c r="T20" s="29">
        <f>F20</f>
        <v>0</v>
      </c>
      <c r="U20" s="29">
        <f t="shared" si="0"/>
        <v>-2.0245625074342808</v>
      </c>
      <c r="V20" s="29">
        <f t="shared" si="1"/>
        <v>-4.2470874765369281E-3</v>
      </c>
      <c r="W20" s="29">
        <f t="shared" si="2"/>
        <v>-3.0273976396404074E-2</v>
      </c>
      <c r="X20" s="29">
        <f t="shared" si="3"/>
        <v>-5.181457034195866E-2</v>
      </c>
      <c r="Y20" s="29">
        <f t="shared" si="4"/>
        <v>-2.5959573674114708E-2</v>
      </c>
      <c r="Z20" s="29">
        <f t="shared" si="5"/>
        <v>-0.21178183810266554</v>
      </c>
      <c r="AA20" s="29">
        <f t="shared" si="6"/>
        <v>0</v>
      </c>
      <c r="AB20" s="29">
        <f t="shared" si="7"/>
        <v>0</v>
      </c>
    </row>
    <row r="21" spans="1:28" x14ac:dyDescent="0.3">
      <c r="A21" s="7" t="s">
        <v>31</v>
      </c>
      <c r="B21" s="17">
        <v>2</v>
      </c>
      <c r="C21" s="2"/>
      <c r="D21" s="2"/>
      <c r="E21" s="2"/>
      <c r="F21" s="2"/>
      <c r="G21" s="2"/>
      <c r="H21" s="2"/>
      <c r="K21" s="29">
        <v>240</v>
      </c>
      <c r="L21" s="29"/>
      <c r="M21" s="29"/>
      <c r="N21" s="29"/>
      <c r="O21" s="29"/>
      <c r="P21" s="29"/>
      <c r="Q21" s="36"/>
      <c r="R21" s="36"/>
      <c r="S21" s="36"/>
      <c r="T21" s="29">
        <f>F21</f>
        <v>0</v>
      </c>
      <c r="U21" s="29">
        <f t="shared" si="0"/>
        <v>-2.0245625074342808</v>
      </c>
      <c r="V21" s="29">
        <f t="shared" si="1"/>
        <v>-4.2470874765369281E-3</v>
      </c>
      <c r="W21" s="29">
        <f t="shared" si="2"/>
        <v>-3.0273976396404074E-2</v>
      </c>
      <c r="X21" s="29">
        <f t="shared" si="3"/>
        <v>-5.181457034195866E-2</v>
      </c>
      <c r="Y21" s="29">
        <f t="shared" si="4"/>
        <v>-2.5959573674114708E-2</v>
      </c>
      <c r="Z21" s="29">
        <f t="shared" si="5"/>
        <v>-0.21178183810266554</v>
      </c>
      <c r="AA21" s="29">
        <f t="shared" si="6"/>
        <v>0</v>
      </c>
      <c r="AB21" s="29">
        <f t="shared" si="7"/>
        <v>0</v>
      </c>
    </row>
    <row r="22" spans="1:28" x14ac:dyDescent="0.3">
      <c r="A22" s="7" t="s">
        <v>32</v>
      </c>
      <c r="B22" s="17"/>
      <c r="C22" s="2"/>
      <c r="D22" s="2"/>
      <c r="E22" s="2"/>
      <c r="F22" s="2"/>
      <c r="G22" s="2"/>
      <c r="H22" s="2"/>
      <c r="K22" s="29">
        <v>360</v>
      </c>
      <c r="L22" s="29"/>
      <c r="M22" s="29"/>
      <c r="N22" s="29"/>
      <c r="O22" s="29"/>
      <c r="P22" s="29"/>
      <c r="Q22" s="36"/>
      <c r="R22" s="36"/>
      <c r="S22" s="36"/>
      <c r="T22" s="29">
        <f>F22</f>
        <v>0</v>
      </c>
      <c r="U22" s="29">
        <f t="shared" si="0"/>
        <v>-2.0245625074342808</v>
      </c>
      <c r="V22" s="29">
        <f t="shared" si="1"/>
        <v>-4.2470874765369281E-3</v>
      </c>
      <c r="W22" s="29">
        <f t="shared" si="2"/>
        <v>-3.0273976396404074E-2</v>
      </c>
      <c r="X22" s="29">
        <f t="shared" si="3"/>
        <v>-5.181457034195866E-2</v>
      </c>
      <c r="Y22" s="29">
        <f t="shared" si="4"/>
        <v>-2.5959573674114708E-2</v>
      </c>
      <c r="Z22" s="29">
        <f t="shared" si="5"/>
        <v>-0.21178183810266554</v>
      </c>
      <c r="AA22" s="29">
        <f t="shared" si="6"/>
        <v>0</v>
      </c>
      <c r="AB22" s="29">
        <f t="shared" si="7"/>
        <v>0</v>
      </c>
    </row>
    <row r="23" spans="1:28" x14ac:dyDescent="0.3">
      <c r="A23" s="18"/>
      <c r="B23" s="2"/>
      <c r="C23" s="2"/>
      <c r="D23" s="2"/>
      <c r="E23" s="2"/>
      <c r="F23" s="2"/>
      <c r="G23" s="2"/>
      <c r="H23" s="2"/>
    </row>
    <row r="24" spans="1:28" ht="15" customHeight="1" x14ac:dyDescent="0.3">
      <c r="A24" s="2"/>
      <c r="B24" s="19" t="s">
        <v>33</v>
      </c>
      <c r="C24" s="19" t="s">
        <v>34</v>
      </c>
      <c r="D24" s="42" t="s">
        <v>35</v>
      </c>
      <c r="E24" s="42" t="s">
        <v>36</v>
      </c>
      <c r="F24" s="42" t="s">
        <v>37</v>
      </c>
      <c r="G24" s="2"/>
      <c r="H24" s="2"/>
    </row>
    <row r="25" spans="1:28" x14ac:dyDescent="0.3">
      <c r="A25" s="2"/>
      <c r="B25" s="20" t="s">
        <v>38</v>
      </c>
      <c r="C25" s="21" t="str">
        <f>B25</f>
        <v>Volume gasto (ml)</v>
      </c>
      <c r="D25" s="42"/>
      <c r="E25" s="42"/>
      <c r="F25" s="42"/>
      <c r="G25" s="2"/>
      <c r="H25" s="2"/>
    </row>
    <row r="26" spans="1:28" x14ac:dyDescent="0.3">
      <c r="A26" s="22" t="s">
        <v>39</v>
      </c>
      <c r="B26" s="23">
        <v>6.7</v>
      </c>
      <c r="C26" s="24">
        <v>6.5</v>
      </c>
      <c r="D26" s="25">
        <f>(B26+C26)/2</f>
        <v>6.6</v>
      </c>
      <c r="E26" s="26">
        <f>(D26/1000)*$B$21*$C$15</f>
        <v>0.79265999999999992</v>
      </c>
      <c r="F26" s="27">
        <f>(E26/$C$15)/0.001</f>
        <v>13.2</v>
      </c>
      <c r="G26" s="1"/>
      <c r="H26" s="28"/>
      <c r="P26" s="48" t="s">
        <v>62</v>
      </c>
      <c r="Q26" s="48"/>
      <c r="R26" s="48"/>
      <c r="S26" s="48"/>
      <c r="T26" s="48"/>
    </row>
    <row r="27" spans="1:28" x14ac:dyDescent="0.3">
      <c r="A27" s="2"/>
      <c r="B27" s="2"/>
      <c r="C27" s="2"/>
      <c r="D27" s="2"/>
      <c r="E27" s="2"/>
      <c r="F27" s="2"/>
      <c r="G27" s="2"/>
      <c r="H27" s="28"/>
      <c r="P27" s="48"/>
      <c r="Q27" s="48"/>
      <c r="R27" s="48"/>
      <c r="S27" s="48"/>
      <c r="T27" s="48"/>
    </row>
    <row r="28" spans="1:28" ht="15" customHeight="1" x14ac:dyDescent="0.3">
      <c r="A28" s="2"/>
      <c r="B28" s="19" t="s">
        <v>33</v>
      </c>
      <c r="C28" s="19" t="s">
        <v>34</v>
      </c>
      <c r="D28" s="38" t="s">
        <v>35</v>
      </c>
      <c r="E28" s="38" t="s">
        <v>36</v>
      </c>
      <c r="F28" s="39" t="s">
        <v>40</v>
      </c>
      <c r="G28" s="39" t="s">
        <v>24</v>
      </c>
      <c r="H28" s="40" t="s">
        <v>41</v>
      </c>
      <c r="K28" s="29" t="s">
        <v>42</v>
      </c>
      <c r="L28" s="29" t="s">
        <v>43</v>
      </c>
      <c r="M28" s="29" t="s">
        <v>44</v>
      </c>
      <c r="N28" s="29" t="s">
        <v>45</v>
      </c>
      <c r="O28" s="29" t="s">
        <v>46</v>
      </c>
      <c r="P28" s="29" t="s">
        <v>47</v>
      </c>
      <c r="Q28" s="29" t="s">
        <v>48</v>
      </c>
      <c r="R28" s="29" t="s">
        <v>49</v>
      </c>
      <c r="S28" s="29" t="s">
        <v>50</v>
      </c>
      <c r="T28" s="29" t="s">
        <v>51</v>
      </c>
      <c r="U28" s="29" t="s">
        <v>52</v>
      </c>
      <c r="V28" s="29" t="s">
        <v>53</v>
      </c>
      <c r="W28" s="29" t="s">
        <v>54</v>
      </c>
      <c r="X28" s="29" t="s">
        <v>55</v>
      </c>
      <c r="Y28" s="29" t="s">
        <v>56</v>
      </c>
      <c r="Z28" s="29" t="s">
        <v>57</v>
      </c>
      <c r="AA28" s="29" t="s">
        <v>58</v>
      </c>
      <c r="AB28" s="29" t="s">
        <v>59</v>
      </c>
    </row>
    <row r="29" spans="1:28" x14ac:dyDescent="0.3">
      <c r="A29" s="30" t="s">
        <v>42</v>
      </c>
      <c r="B29" s="15" t="s">
        <v>38</v>
      </c>
      <c r="C29" s="31" t="str">
        <f>B29</f>
        <v>Volume gasto (ml)</v>
      </c>
      <c r="D29" s="38"/>
      <c r="E29" s="38"/>
      <c r="F29" s="38"/>
      <c r="G29" s="38"/>
      <c r="H29" s="40"/>
      <c r="K29" s="29">
        <v>0</v>
      </c>
      <c r="L29" s="29"/>
      <c r="M29" s="29"/>
      <c r="N29" s="29"/>
      <c r="O29" s="29"/>
      <c r="P29" s="29"/>
      <c r="Q29" s="36">
        <v>10</v>
      </c>
      <c r="R29" s="36">
        <v>0.14000000000000001</v>
      </c>
      <c r="S29" s="36">
        <f>(R29+Q29)</f>
        <v>10.14</v>
      </c>
      <c r="T29" s="29">
        <f>F26</f>
        <v>13.2</v>
      </c>
      <c r="U29" s="29">
        <f t="shared" ref="U29:U34" si="8">(((0.0035162*L29-1678.55)*$S$29/1000)/($R$29*60.05))</f>
        <v>-2.0245625074342808</v>
      </c>
      <c r="V29" s="29">
        <f t="shared" ref="V29:V34" si="9">(((0.00294*M29-5.4)*$S$29/1000)/($R$29*92.09))</f>
        <v>-4.2470874765369281E-3</v>
      </c>
      <c r="W29" s="29">
        <f t="shared" ref="W29:W34" si="10">(((0.00293*N29-56.06)*$S$29/1000)/($R$29*134.12))</f>
        <v>-3.0273976396404074E-2</v>
      </c>
      <c r="X29" s="29">
        <f t="shared" ref="X29:X34" si="11">(((0.00291*O29-126.03)*$S$29/1000)/($R$29*176.17))</f>
        <v>-5.181457034195866E-2</v>
      </c>
      <c r="Y29" s="29">
        <f t="shared" ref="Y29:Y34" si="12">(((0.00291*P29-78.21)*$S$29/1000)/($R$29*218.21))</f>
        <v>-2.5959573674114708E-2</v>
      </c>
      <c r="Z29" s="29">
        <f t="shared" ref="Z29:Z34" si="13">W29+(2*X29)+(3*Y29)</f>
        <v>-0.21178183810266554</v>
      </c>
      <c r="AA29" s="29">
        <f t="shared" ref="AA29:AA34" si="14">($U$29-U29)/$U$29</f>
        <v>0</v>
      </c>
      <c r="AB29" s="32">
        <f t="shared" ref="AB29:AB34" si="15">($V$29-V29)/$V$29</f>
        <v>0</v>
      </c>
    </row>
    <row r="30" spans="1:28" x14ac:dyDescent="0.3">
      <c r="A30" s="33">
        <v>30</v>
      </c>
      <c r="B30" s="34">
        <v>6.5</v>
      </c>
      <c r="C30" s="34">
        <v>6.4</v>
      </c>
      <c r="D30" s="15">
        <f>(B30+C30)/2</f>
        <v>6.45</v>
      </c>
      <c r="E30" s="8">
        <f>(D30/1000)*$B$21*$C$15</f>
        <v>0.77464499999999992</v>
      </c>
      <c r="F30" s="15">
        <f>(E30/$C$15)/0.001</f>
        <v>12.9</v>
      </c>
      <c r="G30" s="37">
        <f>F26</f>
        <v>13.2</v>
      </c>
      <c r="H30" s="35">
        <f>($G$30-F30)/$G$30</f>
        <v>2.2727272727272648E-2</v>
      </c>
      <c r="K30" s="29">
        <v>30</v>
      </c>
      <c r="L30" s="29"/>
      <c r="M30" s="29"/>
      <c r="N30" s="29"/>
      <c r="O30" s="29"/>
      <c r="P30" s="29"/>
      <c r="Q30" s="36"/>
      <c r="R30" s="36"/>
      <c r="S30" s="36"/>
      <c r="T30" s="29">
        <f>F30</f>
        <v>12.9</v>
      </c>
      <c r="U30" s="29">
        <f t="shared" si="8"/>
        <v>-2.0245625074342808</v>
      </c>
      <c r="V30" s="29">
        <f t="shared" si="9"/>
        <v>-4.2470874765369281E-3</v>
      </c>
      <c r="W30" s="29">
        <f t="shared" si="10"/>
        <v>-3.0273976396404074E-2</v>
      </c>
      <c r="X30" s="29">
        <f t="shared" si="11"/>
        <v>-5.181457034195866E-2</v>
      </c>
      <c r="Y30" s="29">
        <f t="shared" si="12"/>
        <v>-2.5959573674114708E-2</v>
      </c>
      <c r="Z30" s="29">
        <f t="shared" si="13"/>
        <v>-0.21178183810266554</v>
      </c>
      <c r="AA30" s="29">
        <f t="shared" si="14"/>
        <v>0</v>
      </c>
      <c r="AB30" s="32">
        <f t="shared" si="15"/>
        <v>0</v>
      </c>
    </row>
    <row r="31" spans="1:28" x14ac:dyDescent="0.3">
      <c r="A31" s="33">
        <v>60</v>
      </c>
      <c r="B31" s="34">
        <v>6.4</v>
      </c>
      <c r="C31" s="34">
        <v>6.4</v>
      </c>
      <c r="D31" s="15">
        <f>(B31+C31)/2</f>
        <v>6.4</v>
      </c>
      <c r="E31" s="8">
        <f>(D31/1000)*$B$21*$C$15</f>
        <v>0.76863999999999999</v>
      </c>
      <c r="F31" s="15">
        <f>(E31/$C$15)/0.001</f>
        <v>12.8</v>
      </c>
      <c r="G31" s="37"/>
      <c r="H31" s="35">
        <f>($G$30-F31)/$G$30</f>
        <v>3.0303030303030196E-2</v>
      </c>
      <c r="K31" s="29">
        <v>60</v>
      </c>
      <c r="L31" s="29"/>
      <c r="M31" s="29"/>
      <c r="N31" s="29"/>
      <c r="O31" s="29"/>
      <c r="P31" s="29"/>
      <c r="Q31" s="36"/>
      <c r="R31" s="36"/>
      <c r="S31" s="36"/>
      <c r="T31" s="29">
        <f>F31</f>
        <v>12.8</v>
      </c>
      <c r="U31" s="29">
        <f t="shared" si="8"/>
        <v>-2.0245625074342808</v>
      </c>
      <c r="V31" s="29">
        <f t="shared" si="9"/>
        <v>-4.2470874765369281E-3</v>
      </c>
      <c r="W31" s="29">
        <f t="shared" si="10"/>
        <v>-3.0273976396404074E-2</v>
      </c>
      <c r="X31" s="29">
        <f t="shared" si="11"/>
        <v>-5.181457034195866E-2</v>
      </c>
      <c r="Y31" s="29">
        <f t="shared" si="12"/>
        <v>-2.5959573674114708E-2</v>
      </c>
      <c r="Z31" s="29">
        <f t="shared" si="13"/>
        <v>-0.21178183810266554</v>
      </c>
      <c r="AA31" s="29">
        <f t="shared" si="14"/>
        <v>0</v>
      </c>
      <c r="AB31" s="32">
        <f t="shared" si="15"/>
        <v>0</v>
      </c>
    </row>
    <row r="32" spans="1:28" x14ac:dyDescent="0.3">
      <c r="A32" s="33">
        <v>120</v>
      </c>
      <c r="B32" s="34">
        <v>6</v>
      </c>
      <c r="C32" s="34">
        <v>6</v>
      </c>
      <c r="D32" s="15">
        <f>B32</f>
        <v>6</v>
      </c>
      <c r="E32" s="8">
        <f>(D32/1000)*$B$21*$C$15</f>
        <v>0.72060000000000002</v>
      </c>
      <c r="F32" s="15">
        <f>(E32/$C$15)/0.001</f>
        <v>12</v>
      </c>
      <c r="G32" s="37"/>
      <c r="H32" s="35">
        <f>($G$30-F32)/$G$30</f>
        <v>9.0909090909090856E-2</v>
      </c>
      <c r="K32" s="29">
        <v>120</v>
      </c>
      <c r="L32" s="29"/>
      <c r="M32" s="29"/>
      <c r="N32" s="29"/>
      <c r="O32" s="29"/>
      <c r="P32" s="29"/>
      <c r="Q32" s="36"/>
      <c r="R32" s="36"/>
      <c r="S32" s="36"/>
      <c r="T32" s="29">
        <f>F32</f>
        <v>12</v>
      </c>
      <c r="U32" s="29">
        <f t="shared" si="8"/>
        <v>-2.0245625074342808</v>
      </c>
      <c r="V32" s="29">
        <f t="shared" si="9"/>
        <v>-4.2470874765369281E-3</v>
      </c>
      <c r="W32" s="29">
        <f t="shared" si="10"/>
        <v>-3.0273976396404074E-2</v>
      </c>
      <c r="X32" s="29">
        <f t="shared" si="11"/>
        <v>-5.181457034195866E-2</v>
      </c>
      <c r="Y32" s="29">
        <f t="shared" si="12"/>
        <v>-2.5959573674114708E-2</v>
      </c>
      <c r="Z32" s="29">
        <f t="shared" si="13"/>
        <v>-0.21178183810266554</v>
      </c>
      <c r="AA32" s="29">
        <f t="shared" si="14"/>
        <v>0</v>
      </c>
      <c r="AB32" s="32">
        <f t="shared" si="15"/>
        <v>0</v>
      </c>
    </row>
    <row r="33" spans="1:28" x14ac:dyDescent="0.3">
      <c r="A33" s="33">
        <v>240</v>
      </c>
      <c r="B33" s="34">
        <v>5.7</v>
      </c>
      <c r="C33" s="34">
        <v>5.65</v>
      </c>
      <c r="D33" s="15">
        <f>(B33+C33)/2</f>
        <v>5.6750000000000007</v>
      </c>
      <c r="E33" s="8">
        <f>(D33/1000)*$B$21*$C$15</f>
        <v>0.68156749999999999</v>
      </c>
      <c r="F33" s="15">
        <f>(E33/$C$15)/0.001</f>
        <v>11.35</v>
      </c>
      <c r="G33" s="37"/>
      <c r="H33" s="35">
        <f>($G$30-F33)/$G$30</f>
        <v>0.14015151515151514</v>
      </c>
      <c r="K33" s="29">
        <v>240</v>
      </c>
      <c r="L33" s="29"/>
      <c r="M33" s="29"/>
      <c r="N33" s="29"/>
      <c r="O33" s="29"/>
      <c r="P33" s="29"/>
      <c r="Q33" s="36"/>
      <c r="R33" s="36"/>
      <c r="S33" s="36"/>
      <c r="T33" s="29">
        <f>F33</f>
        <v>11.35</v>
      </c>
      <c r="U33" s="29">
        <f t="shared" si="8"/>
        <v>-2.0245625074342808</v>
      </c>
      <c r="V33" s="29">
        <f t="shared" si="9"/>
        <v>-4.2470874765369281E-3</v>
      </c>
      <c r="W33" s="29">
        <f t="shared" si="10"/>
        <v>-3.0273976396404074E-2</v>
      </c>
      <c r="X33" s="29">
        <f t="shared" si="11"/>
        <v>-5.181457034195866E-2</v>
      </c>
      <c r="Y33" s="29">
        <f t="shared" si="12"/>
        <v>-2.5959573674114708E-2</v>
      </c>
      <c r="Z33" s="29">
        <f t="shared" si="13"/>
        <v>-0.21178183810266554</v>
      </c>
      <c r="AA33" s="29">
        <f t="shared" si="14"/>
        <v>0</v>
      </c>
      <c r="AB33" s="32">
        <f t="shared" si="15"/>
        <v>0</v>
      </c>
    </row>
    <row r="34" spans="1:28" x14ac:dyDescent="0.3">
      <c r="A34" s="33">
        <v>360</v>
      </c>
      <c r="B34" s="34">
        <v>5.3</v>
      </c>
      <c r="C34" s="34">
        <v>5.4</v>
      </c>
      <c r="D34" s="15">
        <f>(B34+C34)/2</f>
        <v>5.35</v>
      </c>
      <c r="E34" s="8">
        <f>(D34/1000)*$B$21*$C$15</f>
        <v>0.64253499999999997</v>
      </c>
      <c r="F34" s="15">
        <f>(E34/$C$15)/0.001</f>
        <v>10.7</v>
      </c>
      <c r="G34" s="37"/>
      <c r="H34" s="35">
        <f>($G$30-F34)/$G$30</f>
        <v>0.18939393939393939</v>
      </c>
      <c r="K34" s="29">
        <v>360</v>
      </c>
      <c r="L34" s="29"/>
      <c r="M34" s="29"/>
      <c r="N34" s="29"/>
      <c r="O34" s="29"/>
      <c r="P34" s="29"/>
      <c r="Q34" s="36"/>
      <c r="R34" s="36"/>
      <c r="S34" s="36"/>
      <c r="T34" s="29">
        <f>F34</f>
        <v>10.7</v>
      </c>
      <c r="U34" s="29">
        <f t="shared" si="8"/>
        <v>-2.0245625074342808</v>
      </c>
      <c r="V34" s="29">
        <f t="shared" si="9"/>
        <v>-4.2470874765369281E-3</v>
      </c>
      <c r="W34" s="29">
        <f t="shared" si="10"/>
        <v>-3.0273976396404074E-2</v>
      </c>
      <c r="X34" s="29">
        <f t="shared" si="11"/>
        <v>-5.181457034195866E-2</v>
      </c>
      <c r="Y34" s="29">
        <f t="shared" si="12"/>
        <v>-2.5959573674114708E-2</v>
      </c>
      <c r="Z34" s="29">
        <f t="shared" si="13"/>
        <v>-0.21178183810266554</v>
      </c>
      <c r="AA34" s="29">
        <f t="shared" si="14"/>
        <v>0</v>
      </c>
      <c r="AB34" s="32">
        <f t="shared" si="15"/>
        <v>0</v>
      </c>
    </row>
  </sheetData>
  <mergeCells count="24">
    <mergeCell ref="A1:B1"/>
    <mergeCell ref="D2:E2"/>
    <mergeCell ref="D3:E3"/>
    <mergeCell ref="G3:H7"/>
    <mergeCell ref="A8:E8"/>
    <mergeCell ref="A12:H12"/>
    <mergeCell ref="P14:T15"/>
    <mergeCell ref="Q17:Q22"/>
    <mergeCell ref="R17:R22"/>
    <mergeCell ref="S17:S22"/>
    <mergeCell ref="A20:B20"/>
    <mergeCell ref="D24:D25"/>
    <mergeCell ref="E24:E25"/>
    <mergeCell ref="F24:F25"/>
    <mergeCell ref="P26:T27"/>
    <mergeCell ref="D28:D29"/>
    <mergeCell ref="E28:E29"/>
    <mergeCell ref="F28:F29"/>
    <mergeCell ref="G28:G29"/>
    <mergeCell ref="H28:H29"/>
    <mergeCell ref="Q29:Q34"/>
    <mergeCell ref="R29:R34"/>
    <mergeCell ref="S29:S34"/>
    <mergeCell ref="G30:G34"/>
  </mergeCells>
  <pageMargins left="0.51180555555555496" right="0.51180555555555496" top="0.78749999999999998" bottom="0.78749999999999998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Branco à 90 °C</vt:lpstr>
      <vt:lpstr>Amberlyst 36 à 90 °C </vt:lpstr>
      <vt:lpstr>PS-TMPTA-09 à 90 °C  </vt:lpstr>
      <vt:lpstr>PS-TMPTA-08 à 90 °C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 do Windows</dc:creator>
  <dc:description/>
  <cp:lastModifiedBy>Leandro Aguiar</cp:lastModifiedBy>
  <cp:revision>5</cp:revision>
  <dcterms:created xsi:type="dcterms:W3CDTF">2022-08-22T19:04:32Z</dcterms:created>
  <dcterms:modified xsi:type="dcterms:W3CDTF">2022-09-13T18:48:07Z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