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MPTA b.4 2% 1h" sheetId="1" r:id="rId4"/>
    <sheet state="visible" name="TMPTA b.1 4% 1h " sheetId="2" r:id="rId5"/>
    <sheet state="visible" name="TMPTA b.1 6% 1h  " sheetId="3" r:id="rId6"/>
  </sheets>
  <definedNames/>
  <calcPr/>
  <extLst>
    <ext uri="GoogleSheetsCustomDataVersion2">
      <go:sheetsCustomData xmlns:go="http://customooxmlschemas.google.com/" r:id="rId7" roundtripDataChecksum="GQqlOEj4W6YOJbZ0bm3UJxeY9dw6rL5zZBbcdu1FL90="/>
    </ext>
  </extLst>
</workbook>
</file>

<file path=xl/sharedStrings.xml><?xml version="1.0" encoding="utf-8"?>
<sst xmlns="http://schemas.openxmlformats.org/spreadsheetml/2006/main" count="199" uniqueCount="60">
  <si>
    <t>Legenda</t>
  </si>
  <si>
    <t>Valores planejados</t>
  </si>
  <si>
    <t>Cálculo das massas</t>
  </si>
  <si>
    <t>Valores Calculados</t>
  </si>
  <si>
    <t>Batch4 TMPTA 2% 1h à 90 °C</t>
  </si>
  <si>
    <t>Dados físicos</t>
  </si>
  <si>
    <t>Álcool isoamílico</t>
  </si>
  <si>
    <t>Valores medidos</t>
  </si>
  <si>
    <t>Acético</t>
  </si>
  <si>
    <t>Resultados</t>
  </si>
  <si>
    <t>Massa de catalisador (g)</t>
  </si>
  <si>
    <t>Planejamento</t>
  </si>
  <si>
    <t>Agitação (rpm)</t>
  </si>
  <si>
    <t>Volume de fluido (cm^3)</t>
  </si>
  <si>
    <t>razão ácido álcool</t>
  </si>
  <si>
    <t>Temperatura (ºC)</t>
  </si>
  <si>
    <t>%Catalisador (g/ml)</t>
  </si>
  <si>
    <t>Quantidades</t>
  </si>
  <si>
    <t>massa prevista(g)</t>
  </si>
  <si>
    <t>Massa molar (g/mol)</t>
  </si>
  <si>
    <t>densidade g/cm^3</t>
  </si>
  <si>
    <t>volume (ml)</t>
  </si>
  <si>
    <t>N de mols</t>
  </si>
  <si>
    <t>Massa medida</t>
  </si>
  <si>
    <t>Concentração inicial (mol/L)</t>
  </si>
  <si>
    <t>Ácido acético</t>
  </si>
  <si>
    <t>Razão calculada</t>
  </si>
  <si>
    <t>Volume medido (mL)</t>
  </si>
  <si>
    <t>Volume calculado (cm^3)</t>
  </si>
  <si>
    <t>AA</t>
  </si>
  <si>
    <t>NaOH</t>
  </si>
  <si>
    <t>Concentração (mol/L)</t>
  </si>
  <si>
    <t>Massa molar (g/L)</t>
  </si>
  <si>
    <t>Replicata 1</t>
  </si>
  <si>
    <t>Replicata 2</t>
  </si>
  <si>
    <t>Média das replicatas (ml)</t>
  </si>
  <si>
    <t>Massa presente do ácido (g)</t>
  </si>
  <si>
    <t>Concentração ácido na amostra (mol/L)</t>
  </si>
  <si>
    <t>Volume gasto (ml)</t>
  </si>
  <si>
    <t>Solução de reagentes inicial</t>
  </si>
  <si>
    <t>Catálise: Dados do meio reacional</t>
  </si>
  <si>
    <t>Concentração na amostra (mol/L)</t>
  </si>
  <si>
    <t>Conversão</t>
  </si>
  <si>
    <t>Tempo (min)</t>
  </si>
  <si>
    <t>Área AA</t>
  </si>
  <si>
    <t>Área Ai</t>
  </si>
  <si>
    <t>Área AC</t>
  </si>
  <si>
    <t>V metanol (L)</t>
  </si>
  <si>
    <t>V amostra (mL)</t>
  </si>
  <si>
    <t>V tot (mL)</t>
  </si>
  <si>
    <t>AA tit</t>
  </si>
  <si>
    <t>AA (mol/L)</t>
  </si>
  <si>
    <t>Ai (mol/L)</t>
  </si>
  <si>
    <t>AC (mol/L)</t>
  </si>
  <si>
    <t>XAA GC</t>
  </si>
  <si>
    <t>Xai GC</t>
  </si>
  <si>
    <t>KC</t>
  </si>
  <si>
    <t>Batch1 TMPTA 4% 1h à 90 °C</t>
  </si>
  <si>
    <t>DENTRO CAT</t>
  </si>
  <si>
    <t>Batch1 TMPTA 6% 1h à 90 °C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</si>
</sst>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9">
    <font>
      <sz val="11.0"/>
      <color rgb="FF000000"/>
      <name val="Calibri"/>
      <scheme val="minor"/>
    </font>
    <font>
      <b/>
      <sz val="10.0"/>
      <color theme="1"/>
      <name val="Arial"/>
    </font>
    <font>
      <sz val="10.0"/>
      <color theme="1"/>
      <name val="Arial"/>
    </font>
    <font>
      <sz val="10.0"/>
      <color rgb="FF000000"/>
      <name val="Arial"/>
    </font>
    <font/>
    <font>
      <sz val="14.0"/>
      <color rgb="FF000000"/>
      <name val="Arial"/>
    </font>
    <font>
      <b/>
      <sz val="12.0"/>
      <color rgb="FF000000"/>
      <name val="Calibri"/>
    </font>
    <font>
      <sz val="11.0"/>
      <color rgb="FF000000"/>
      <name val="Calibri"/>
    </font>
    <font>
      <color theme="1"/>
      <name val="Calibri"/>
      <scheme val="minor"/>
    </font>
  </fonts>
  <fills count="10">
    <fill>
      <patternFill patternType="none"/>
    </fill>
    <fill>
      <patternFill patternType="lightGray"/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  <fill>
      <patternFill patternType="solid">
        <fgColor rgb="FFB7B7B7"/>
        <bgColor rgb="FFB7B7B7"/>
      </patternFill>
    </fill>
    <fill>
      <patternFill patternType="solid">
        <fgColor rgb="FF00FFFF"/>
        <bgColor rgb="FF00FFFF"/>
      </patternFill>
    </fill>
    <fill>
      <patternFill patternType="solid">
        <fgColor rgb="FFFF00FF"/>
        <bgColor rgb="FFFF00FF"/>
      </patternFill>
    </fill>
    <fill>
      <patternFill patternType="solid">
        <fgColor rgb="FFFF9900"/>
        <bgColor rgb="FFFF9900"/>
      </patternFill>
    </fill>
    <fill>
      <patternFill patternType="solid">
        <fgColor rgb="FFE7E6E6"/>
        <bgColor rgb="FFE7E6E6"/>
      </patternFill>
    </fill>
    <fill>
      <patternFill patternType="solid">
        <fgColor rgb="FFFFFFFF"/>
        <bgColor rgb="FFFFFFFF"/>
      </patternFill>
    </fill>
  </fills>
  <borders count="29">
    <border/>
    <border>
      <left/>
      <right/>
      <top/>
      <bottom/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bottom/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 style="thin">
        <color rgb="FF000000"/>
      </left>
      <right/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thin">
        <color rgb="FF000000"/>
      </right>
      <top style="thin">
        <color rgb="FF000000"/>
      </top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/>
      <top/>
      <bottom/>
    </border>
    <border>
      <left/>
      <right style="thin">
        <color rgb="FF000000"/>
      </right>
      <top style="thin">
        <color rgb="FF000000"/>
      </top>
      <bottom/>
    </border>
  </borders>
  <cellStyleXfs count="1">
    <xf borderId="0" fillId="0" fontId="0" numFmtId="0" applyAlignment="1" applyFont="1"/>
  </cellStyleXfs>
  <cellXfs count="6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3" numFmtId="0" xfId="0" applyAlignment="1" applyFont="1">
      <alignment shrinkToFit="0" vertical="bottom" wrapText="0"/>
    </xf>
    <xf borderId="1" fillId="2" fontId="2" numFmtId="0" xfId="0" applyAlignment="1" applyBorder="1" applyFill="1" applyFon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2" numFmtId="0" xfId="0" applyAlignment="1" applyBorder="1" applyFont="1">
      <alignment shrinkToFit="0" vertical="bottom" wrapText="0"/>
    </xf>
    <xf borderId="3" fillId="0" fontId="4" numFmtId="0" xfId="0" applyBorder="1" applyFont="1"/>
    <xf borderId="1" fillId="3" fontId="2" numFmtId="0" xfId="0" applyAlignment="1" applyBorder="1" applyFill="1" applyFont="1">
      <alignment shrinkToFit="0" vertical="bottom" wrapText="0"/>
    </xf>
    <xf borderId="4" fillId="3" fontId="2" numFmtId="0" xfId="0" applyAlignment="1" applyBorder="1" applyFont="1">
      <alignment shrinkToFit="0" vertical="bottom" wrapText="0"/>
    </xf>
    <xf borderId="5" fillId="0" fontId="4" numFmtId="0" xfId="0" applyBorder="1" applyFont="1"/>
    <xf borderId="2" fillId="4" fontId="5" numFmtId="0" xfId="0" applyAlignment="1" applyBorder="1" applyFill="1" applyFont="1">
      <alignment horizontal="center" readingOrder="0" shrinkToFit="0" vertical="center" wrapText="1"/>
    </xf>
    <xf borderId="1" fillId="5" fontId="2" numFmtId="0" xfId="0" applyAlignment="1" applyBorder="1" applyFill="1" applyFont="1">
      <alignment shrinkToFit="0" vertical="bottom" wrapText="0"/>
    </xf>
    <xf borderId="6" fillId="0" fontId="2" numFmtId="0" xfId="0" applyAlignment="1" applyBorder="1" applyFont="1">
      <alignment shrinkToFit="0" vertical="bottom" wrapText="0"/>
    </xf>
    <xf borderId="6" fillId="3" fontId="2" numFmtId="164" xfId="0" applyAlignment="1" applyBorder="1" applyFont="1" applyNumberFormat="1">
      <alignment shrinkToFit="0" vertical="bottom" wrapText="0"/>
    </xf>
    <xf borderId="7" fillId="0" fontId="4" numFmtId="0" xfId="0" applyBorder="1" applyFont="1"/>
    <xf borderId="8" fillId="0" fontId="4" numFmtId="0" xfId="0" applyBorder="1" applyFont="1"/>
    <xf borderId="1" fillId="6" fontId="2" numFmtId="0" xfId="0" applyAlignment="1" applyBorder="1" applyFill="1" applyFont="1">
      <alignment shrinkToFit="0" vertical="bottom" wrapText="0"/>
    </xf>
    <xf borderId="1" fillId="7" fontId="2" numFmtId="0" xfId="0" applyAlignment="1" applyBorder="1" applyFill="1" applyFont="1">
      <alignment shrinkToFit="0" vertical="bottom" wrapText="0"/>
    </xf>
    <xf borderId="9" fillId="0" fontId="4" numFmtId="0" xfId="0" applyBorder="1" applyFont="1"/>
    <xf borderId="10" fillId="0" fontId="4" numFmtId="0" xfId="0" applyBorder="1" applyFont="1"/>
    <xf borderId="7" fillId="0" fontId="2" numFmtId="0" xfId="0" applyAlignment="1" applyBorder="1" applyFont="1">
      <alignment horizontal="center" shrinkToFit="0" vertical="bottom" wrapText="0"/>
    </xf>
    <xf borderId="11" fillId="0" fontId="2" numFmtId="0" xfId="0" applyAlignment="1" applyBorder="1" applyFont="1">
      <alignment shrinkToFit="0" vertical="bottom" wrapText="0"/>
    </xf>
    <xf borderId="12" fillId="0" fontId="2" numFmtId="0" xfId="0" applyAlignment="1" applyBorder="1" applyFont="1">
      <alignment shrinkToFit="0" vertical="bottom" wrapText="0"/>
    </xf>
    <xf borderId="6" fillId="2" fontId="2" numFmtId="0" xfId="0" applyAlignment="1" applyBorder="1" applyFont="1">
      <alignment shrinkToFit="0" vertical="bottom" wrapText="0"/>
    </xf>
    <xf borderId="13" fillId="0" fontId="2" numFmtId="0" xfId="0" applyAlignment="1" applyBorder="1" applyFont="1">
      <alignment horizontal="center" shrinkToFit="0" vertical="bottom" wrapText="0"/>
    </xf>
    <xf borderId="14" fillId="0" fontId="4" numFmtId="0" xfId="0" applyBorder="1" applyFont="1"/>
    <xf borderId="15" fillId="0" fontId="4" numFmtId="0" xfId="0" applyBorder="1" applyFont="1"/>
    <xf borderId="6" fillId="3" fontId="2" numFmtId="0" xfId="0" applyAlignment="1" applyBorder="1" applyFont="1">
      <alignment shrinkToFit="0" vertical="bottom" wrapText="0"/>
    </xf>
    <xf borderId="6" fillId="5" fontId="2" numFmtId="164" xfId="0" applyAlignment="1" applyBorder="1" applyFont="1" applyNumberFormat="1">
      <alignment shrinkToFit="0" vertical="bottom" wrapText="0"/>
    </xf>
    <xf borderId="0" fillId="0" fontId="2" numFmtId="0" xfId="0" applyAlignment="1" applyFont="1">
      <alignment shrinkToFit="0" vertical="bottom" wrapText="0"/>
    </xf>
    <xf borderId="6" fillId="5" fontId="2" numFmtId="0" xfId="0" applyAlignment="1" applyBorder="1" applyFont="1">
      <alignment shrinkToFit="0" vertical="bottom" wrapText="0"/>
    </xf>
    <xf borderId="13" fillId="0" fontId="2" numFmtId="0" xfId="0" applyAlignment="1" applyBorder="1" applyFont="1">
      <alignment shrinkToFit="0" vertical="center" wrapText="0"/>
    </xf>
    <xf borderId="16" fillId="3" fontId="2" numFmtId="0" xfId="0" applyAlignment="1" applyBorder="1" applyFont="1">
      <alignment horizontal="center" shrinkToFit="0" vertical="center" wrapText="1"/>
    </xf>
    <xf borderId="17" fillId="3" fontId="2" numFmtId="0" xfId="0" applyAlignment="1" applyBorder="1" applyFont="1">
      <alignment shrinkToFit="0" vertical="bottom" wrapText="0"/>
    </xf>
    <xf borderId="18" fillId="3" fontId="2" numFmtId="0" xfId="0" applyAlignment="1" applyBorder="1" applyFont="1">
      <alignment shrinkToFit="0" vertical="bottom" wrapText="0"/>
    </xf>
    <xf borderId="19" fillId="0" fontId="4" numFmtId="0" xfId="0" applyBorder="1" applyFont="1"/>
    <xf borderId="20" fillId="8" fontId="3" numFmtId="0" xfId="0" applyAlignment="1" applyBorder="1" applyFill="1" applyFont="1">
      <alignment shrinkToFit="0" vertical="bottom" wrapText="0"/>
    </xf>
    <xf borderId="21" fillId="8" fontId="3" numFmtId="0" xfId="0" applyAlignment="1" applyBorder="1" applyFont="1">
      <alignment shrinkToFit="0" vertical="bottom" wrapText="0"/>
    </xf>
    <xf borderId="21" fillId="8" fontId="2" numFmtId="2" xfId="0" applyAlignment="1" applyBorder="1" applyFont="1" applyNumberFormat="1">
      <alignment horizontal="right" shrinkToFit="0" vertical="bottom" wrapText="0"/>
    </xf>
    <xf borderId="22" fillId="8" fontId="2" numFmtId="0" xfId="0" applyAlignment="1" applyBorder="1" applyFont="1">
      <alignment shrinkToFit="0" vertical="bottom" wrapText="0"/>
    </xf>
    <xf borderId="21" fillId="8" fontId="2" numFmtId="164" xfId="0" applyAlignment="1" applyBorder="1" applyFont="1" applyNumberFormat="1">
      <alignment shrinkToFit="0" vertical="bottom" wrapText="0"/>
    </xf>
    <xf borderId="23" fillId="8" fontId="2" numFmtId="0" xfId="0" applyAlignment="1" applyBorder="1" applyFont="1">
      <alignment shrinkToFit="0" vertical="bottom" wrapText="0"/>
    </xf>
    <xf borderId="0" fillId="0" fontId="2" numFmtId="0" xfId="0" applyAlignment="1" applyFont="1">
      <alignment horizontal="center" shrinkToFit="0" vertical="center" wrapText="0"/>
    </xf>
    <xf borderId="6" fillId="0" fontId="6" numFmtId="0" xfId="0" applyAlignment="1" applyBorder="1" applyFont="1">
      <alignment horizontal="center" shrinkToFit="0" vertical="center" wrapText="0"/>
    </xf>
    <xf borderId="16" fillId="3" fontId="2" numFmtId="0" xfId="0" applyAlignment="1" applyBorder="1" applyFont="1">
      <alignment shrinkToFit="0" vertical="center" wrapText="1"/>
    </xf>
    <xf borderId="24" fillId="7" fontId="2" numFmtId="0" xfId="0" applyAlignment="1" applyBorder="1" applyFont="1">
      <alignment horizontal="center" shrinkToFit="0" vertical="center" wrapText="0"/>
    </xf>
    <xf borderId="6" fillId="0" fontId="7" numFmtId="0" xfId="0" applyAlignment="1" applyBorder="1" applyFont="1">
      <alignment shrinkToFit="0" vertical="bottom" wrapText="0"/>
    </xf>
    <xf borderId="25" fillId="6" fontId="2" numFmtId="0" xfId="0" applyAlignment="1" applyBorder="1" applyFont="1">
      <alignment shrinkToFit="0" vertical="bottom" wrapText="0"/>
    </xf>
    <xf borderId="25" fillId="3" fontId="2" numFmtId="0" xfId="0" applyAlignment="1" applyBorder="1" applyFont="1">
      <alignment shrinkToFit="0" vertical="bottom" wrapText="0"/>
    </xf>
    <xf borderId="11" fillId="0" fontId="4" numFmtId="0" xfId="0" applyBorder="1" applyFont="1"/>
    <xf borderId="26" fillId="0" fontId="4" numFmtId="0" xfId="0" applyBorder="1" applyFont="1"/>
    <xf borderId="0" fillId="0" fontId="7" numFmtId="0" xfId="0" applyAlignment="1" applyFont="1">
      <alignment horizontal="right" shrinkToFit="0" vertical="bottom" wrapText="0"/>
    </xf>
    <xf borderId="16" fillId="0" fontId="7" numFmtId="0" xfId="0" applyAlignment="1" applyBorder="1" applyFont="1">
      <alignment horizontal="center" shrinkToFit="0" vertical="center" wrapText="0"/>
    </xf>
    <xf borderId="27" fillId="6" fontId="2" numFmtId="0" xfId="0" applyAlignment="1" applyBorder="1" applyFont="1">
      <alignment shrinkToFit="0" vertical="bottom" wrapText="0"/>
    </xf>
    <xf borderId="16" fillId="3" fontId="2" numFmtId="0" xfId="0" applyAlignment="1" applyBorder="1" applyFont="1">
      <alignment horizontal="center" shrinkToFit="0" vertical="center" wrapText="0"/>
    </xf>
    <xf borderId="28" fillId="7" fontId="2" numFmtId="164" xfId="0" applyAlignment="1" applyBorder="1" applyFont="1" applyNumberFormat="1">
      <alignment shrinkToFit="0" vertical="bottom" wrapText="0"/>
    </xf>
    <xf borderId="0" fillId="0" fontId="8" numFmtId="0" xfId="0" applyFont="1"/>
    <xf borderId="12" fillId="0" fontId="4" numFmtId="0" xfId="0" applyBorder="1" applyFont="1"/>
    <xf borderId="6" fillId="9" fontId="7" numFmtId="0" xfId="0" applyAlignment="1" applyBorder="1" applyFill="1" applyFont="1">
      <alignment shrinkToFit="0" vertical="bottom" wrapText="0"/>
    </xf>
    <xf borderId="1" fillId="9" fontId="7" numFmtId="0" xfId="0" applyAlignment="1" applyBorder="1" applyFont="1">
      <alignment shrinkToFit="0" vertical="bottom" wrapText="0"/>
    </xf>
    <xf borderId="0" fillId="0" fontId="7" numFmtId="0" xfId="0" applyAlignment="1" applyFont="1">
      <alignment shrinkToFit="0" vertical="bottom" wrapText="0"/>
    </xf>
    <xf borderId="2" fillId="4" fontId="5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71"/>
    <col customWidth="1" min="2" max="2" width="21.0"/>
    <col customWidth="1" min="3" max="3" width="18.29"/>
    <col customWidth="1" min="4" max="4" width="22.29"/>
    <col customWidth="1" min="5" max="5" width="18.14"/>
    <col customWidth="1" min="6" max="6" width="21.0"/>
    <col customWidth="1" min="7" max="8" width="24.43"/>
    <col customWidth="1" min="9" max="10" width="8.71"/>
    <col customWidth="1" min="11" max="11" width="12.43"/>
    <col customWidth="1" min="12" max="12" width="10.57"/>
    <col customWidth="1" min="13" max="13" width="11.86"/>
    <col customWidth="1" min="14" max="14" width="11.57"/>
    <col customWidth="1" min="15" max="15" width="12.86"/>
    <col customWidth="1" min="16" max="16" width="23.29"/>
    <col customWidth="1" min="17" max="17" width="10.0"/>
    <col customWidth="1" min="18" max="18" width="8.71"/>
    <col customWidth="1" min="19" max="19" width="10.71"/>
    <col customWidth="1" min="20" max="20" width="12.29"/>
    <col customWidth="1" min="21" max="21" width="9.86"/>
    <col customWidth="1" min="22" max="26" width="8.71"/>
  </cols>
  <sheetData>
    <row r="1">
      <c r="A1" s="1" t="s">
        <v>0</v>
      </c>
      <c r="C1" s="2"/>
      <c r="D1" s="2"/>
      <c r="E1" s="2"/>
      <c r="F1" s="3"/>
      <c r="G1" s="3"/>
      <c r="H1" s="3"/>
    </row>
    <row r="2">
      <c r="A2" s="4"/>
      <c r="B2" s="5" t="s">
        <v>1</v>
      </c>
      <c r="C2" s="2"/>
      <c r="D2" s="6" t="s">
        <v>2</v>
      </c>
      <c r="E2" s="7"/>
      <c r="F2" s="3"/>
      <c r="G2" s="3"/>
      <c r="H2" s="3"/>
    </row>
    <row r="3" ht="15.0" customHeight="1">
      <c r="A3" s="8"/>
      <c r="B3" s="5" t="s">
        <v>3</v>
      </c>
      <c r="C3" s="2"/>
      <c r="D3" s="9">
        <f>C10*C15/C14</f>
        <v>1.362481281</v>
      </c>
      <c r="E3" s="10"/>
      <c r="F3" s="3"/>
      <c r="G3" s="11" t="s">
        <v>4</v>
      </c>
      <c r="H3" s="7"/>
    </row>
    <row r="4">
      <c r="A4" s="12"/>
      <c r="B4" s="5" t="s">
        <v>5</v>
      </c>
      <c r="C4" s="2"/>
      <c r="D4" s="13" t="s">
        <v>6</v>
      </c>
      <c r="E4" s="14">
        <f>B10*D15*D14/(D15+D14*D3)</f>
        <v>93.2007258</v>
      </c>
      <c r="F4" s="3"/>
      <c r="G4" s="15"/>
      <c r="H4" s="16"/>
    </row>
    <row r="5">
      <c r="A5" s="17"/>
      <c r="B5" s="5" t="s">
        <v>7</v>
      </c>
      <c r="C5" s="2"/>
      <c r="D5" s="13" t="s">
        <v>8</v>
      </c>
      <c r="E5" s="14">
        <f>E4*D3</f>
        <v>126.9842443</v>
      </c>
      <c r="F5" s="3"/>
      <c r="G5" s="15"/>
      <c r="H5" s="16"/>
    </row>
    <row r="6">
      <c r="A6" s="18"/>
      <c r="B6" s="5" t="s">
        <v>9</v>
      </c>
      <c r="C6" s="2"/>
      <c r="D6" s="13" t="s">
        <v>10</v>
      </c>
      <c r="E6" s="14">
        <f>E10*B10</f>
        <v>2.36</v>
      </c>
      <c r="F6" s="3"/>
      <c r="G6" s="15"/>
      <c r="H6" s="16"/>
    </row>
    <row r="7">
      <c r="A7" s="2"/>
      <c r="B7" s="2"/>
      <c r="C7" s="2"/>
      <c r="D7" s="2"/>
      <c r="E7" s="3"/>
      <c r="F7" s="3"/>
      <c r="G7" s="19"/>
      <c r="H7" s="20"/>
    </row>
    <row r="8">
      <c r="A8" s="21" t="s">
        <v>11</v>
      </c>
      <c r="F8" s="3"/>
      <c r="G8" s="3"/>
      <c r="H8" s="3"/>
    </row>
    <row r="9">
      <c r="A9" s="22" t="s">
        <v>12</v>
      </c>
      <c r="B9" s="22" t="s">
        <v>13</v>
      </c>
      <c r="C9" s="22" t="s">
        <v>14</v>
      </c>
      <c r="D9" s="22" t="s">
        <v>15</v>
      </c>
      <c r="E9" s="23" t="s">
        <v>16</v>
      </c>
      <c r="F9" s="3"/>
      <c r="G9" s="3"/>
      <c r="H9" s="3"/>
    </row>
    <row r="10">
      <c r="A10" s="24">
        <v>350.0</v>
      </c>
      <c r="B10" s="24">
        <v>236.0</v>
      </c>
      <c r="C10" s="24">
        <v>2.0</v>
      </c>
      <c r="D10" s="24">
        <v>90.0</v>
      </c>
      <c r="E10" s="24">
        <v>0.01</v>
      </c>
      <c r="F10" s="3"/>
      <c r="G10" s="3"/>
      <c r="H10" s="3"/>
    </row>
    <row r="11">
      <c r="A11" s="3"/>
      <c r="B11" s="3"/>
      <c r="C11" s="3"/>
      <c r="D11" s="3"/>
      <c r="E11" s="3"/>
      <c r="F11" s="3"/>
      <c r="G11" s="3"/>
      <c r="H11" s="3"/>
    </row>
    <row r="12">
      <c r="A12" s="25" t="s">
        <v>17</v>
      </c>
      <c r="B12" s="26"/>
      <c r="C12" s="26"/>
      <c r="D12" s="26"/>
      <c r="E12" s="26"/>
      <c r="F12" s="26"/>
      <c r="G12" s="26"/>
      <c r="H12" s="27"/>
    </row>
    <row r="13">
      <c r="A13" s="13"/>
      <c r="B13" s="13" t="s">
        <v>18</v>
      </c>
      <c r="C13" s="13" t="s">
        <v>19</v>
      </c>
      <c r="D13" s="13" t="s">
        <v>20</v>
      </c>
      <c r="E13" s="13" t="s">
        <v>21</v>
      </c>
      <c r="F13" s="13" t="s">
        <v>22</v>
      </c>
      <c r="G13" s="13" t="s">
        <v>23</v>
      </c>
      <c r="H13" s="28" t="s">
        <v>24</v>
      </c>
    </row>
    <row r="14" ht="15.0" customHeight="1">
      <c r="A14" s="13" t="s">
        <v>6</v>
      </c>
      <c r="B14" s="14">
        <f t="shared" ref="B14:B15" si="1">E4</f>
        <v>93.2007258</v>
      </c>
      <c r="C14" s="29">
        <v>88.148</v>
      </c>
      <c r="D14" s="29">
        <v>0.81</v>
      </c>
      <c r="E14" s="14">
        <f t="shared" ref="E14:E15" si="2">B14/D14</f>
        <v>115.0626244</v>
      </c>
      <c r="F14" s="14">
        <f t="shared" ref="F14:F15" si="3">B14/C14</f>
        <v>1.057320935</v>
      </c>
      <c r="G14" s="28">
        <f t="shared" ref="G14:G15" si="4">E18*D14</f>
        <v>93.96</v>
      </c>
      <c r="H14" s="14">
        <f t="shared" ref="H14:H15" si="5">(G14/C14)/($B$18/1000)</f>
        <v>4.516671884</v>
      </c>
    </row>
    <row r="15">
      <c r="A15" s="13" t="s">
        <v>25</v>
      </c>
      <c r="B15" s="14">
        <f t="shared" si="1"/>
        <v>126.9842443</v>
      </c>
      <c r="C15" s="29">
        <v>60.05</v>
      </c>
      <c r="D15" s="29">
        <v>1.05</v>
      </c>
      <c r="E15" s="14">
        <f t="shared" si="2"/>
        <v>120.9373756</v>
      </c>
      <c r="F15" s="14">
        <f t="shared" si="3"/>
        <v>2.114641871</v>
      </c>
      <c r="G15" s="28">
        <f t="shared" si="4"/>
        <v>127.05</v>
      </c>
      <c r="H15" s="14">
        <f t="shared" si="5"/>
        <v>8.964986805</v>
      </c>
    </row>
    <row r="16">
      <c r="A16" s="3"/>
      <c r="B16" s="3"/>
      <c r="C16" s="3"/>
      <c r="D16" s="3"/>
      <c r="E16" s="3"/>
      <c r="F16" s="3"/>
      <c r="G16" s="3"/>
      <c r="H16" s="14">
        <f>H14/H15</f>
        <v>0.5038124408</v>
      </c>
    </row>
    <row r="17">
      <c r="A17" s="13" t="s">
        <v>26</v>
      </c>
      <c r="B17" s="28">
        <f>F15/F14</f>
        <v>2</v>
      </c>
      <c r="C17" s="3"/>
      <c r="D17" s="3"/>
      <c r="E17" s="3" t="s">
        <v>27</v>
      </c>
      <c r="F17" s="3"/>
      <c r="G17" s="3"/>
      <c r="H17" s="3"/>
    </row>
    <row r="18">
      <c r="A18" s="13" t="s">
        <v>28</v>
      </c>
      <c r="B18" s="14">
        <f>E14+E15</f>
        <v>236</v>
      </c>
      <c r="C18" s="3"/>
      <c r="D18" s="30" t="s">
        <v>6</v>
      </c>
      <c r="E18" s="17">
        <v>116.0</v>
      </c>
      <c r="F18" s="3"/>
      <c r="H18" s="3">
        <f>H15/H14</f>
        <v>1.984865635</v>
      </c>
    </row>
    <row r="19">
      <c r="A19" s="3"/>
      <c r="B19" s="3"/>
      <c r="C19" s="3"/>
      <c r="D19" s="3" t="s">
        <v>29</v>
      </c>
      <c r="E19" s="17">
        <v>121.0</v>
      </c>
      <c r="F19" s="3"/>
      <c r="H19" s="3"/>
    </row>
    <row r="20">
      <c r="A20" s="25" t="s">
        <v>30</v>
      </c>
      <c r="B20" s="27"/>
      <c r="C20" s="3"/>
      <c r="D20" s="3"/>
      <c r="E20" s="3"/>
      <c r="F20" s="3"/>
      <c r="H20" s="3"/>
    </row>
    <row r="21" ht="15.75" customHeight="1">
      <c r="A21" s="13" t="s">
        <v>31</v>
      </c>
      <c r="B21" s="31">
        <v>2.0</v>
      </c>
      <c r="C21" s="3"/>
      <c r="D21" s="3"/>
      <c r="E21" s="3"/>
      <c r="F21" s="3"/>
      <c r="G21" s="3"/>
      <c r="H21" s="3"/>
    </row>
    <row r="22" ht="15.75" customHeight="1">
      <c r="A22" s="13" t="s">
        <v>32</v>
      </c>
      <c r="B22" s="31"/>
      <c r="C22" s="3"/>
      <c r="D22" s="3"/>
      <c r="E22" s="3"/>
      <c r="F22" s="3"/>
      <c r="G22" s="3"/>
      <c r="H22" s="3"/>
    </row>
    <row r="23" ht="15.75" customHeight="1">
      <c r="A23" s="30"/>
      <c r="B23" s="3"/>
      <c r="C23" s="3"/>
      <c r="D23" s="3"/>
      <c r="E23" s="3"/>
      <c r="F23" s="3"/>
      <c r="G23" s="3"/>
      <c r="H23" s="3"/>
    </row>
    <row r="24" ht="15.0" customHeight="1">
      <c r="A24" s="3"/>
      <c r="B24" s="32" t="s">
        <v>33</v>
      </c>
      <c r="C24" s="32" t="s">
        <v>34</v>
      </c>
      <c r="D24" s="33" t="s">
        <v>35</v>
      </c>
      <c r="E24" s="33" t="s">
        <v>36</v>
      </c>
      <c r="F24" s="33" t="s">
        <v>37</v>
      </c>
      <c r="G24" s="3"/>
      <c r="H24" s="3"/>
    </row>
    <row r="25" ht="15.75" customHeight="1">
      <c r="A25" s="3"/>
      <c r="B25" s="34" t="s">
        <v>38</v>
      </c>
      <c r="C25" s="35" t="str">
        <f>B25</f>
        <v>Volume gasto (ml)</v>
      </c>
      <c r="D25" s="36"/>
      <c r="E25" s="36"/>
      <c r="F25" s="36"/>
      <c r="G25" s="3"/>
      <c r="H25" s="3"/>
    </row>
    <row r="26" ht="15.75" customHeight="1">
      <c r="A26" s="37" t="s">
        <v>39</v>
      </c>
      <c r="B26" s="38">
        <v>4.4</v>
      </c>
      <c r="C26" s="39">
        <v>4.4</v>
      </c>
      <c r="D26" s="40">
        <f>(B26+C26)/2</f>
        <v>4.4</v>
      </c>
      <c r="E26" s="41">
        <f>(D26/1000)*$B$21*$C$15</f>
        <v>0.52844</v>
      </c>
      <c r="F26" s="42">
        <f>(E26/$C$15)/0.001</f>
        <v>8.8</v>
      </c>
      <c r="G26" s="2"/>
      <c r="H26" s="43"/>
      <c r="O26" s="44"/>
      <c r="P26" s="44" t="s">
        <v>40</v>
      </c>
      <c r="Q26" s="44"/>
      <c r="R26" s="44"/>
    </row>
    <row r="27" ht="15.75" customHeight="1">
      <c r="A27" s="3"/>
      <c r="B27" s="3"/>
      <c r="C27" s="3"/>
      <c r="D27" s="3"/>
      <c r="E27" s="3"/>
      <c r="F27" s="3"/>
      <c r="G27" s="3"/>
      <c r="H27" s="43"/>
      <c r="O27" s="44"/>
      <c r="P27" s="44"/>
      <c r="Q27" s="44"/>
      <c r="R27" s="44"/>
    </row>
    <row r="28" ht="15.0" customHeight="1">
      <c r="A28" s="3"/>
      <c r="B28" s="32" t="s">
        <v>33</v>
      </c>
      <c r="C28" s="32" t="s">
        <v>34</v>
      </c>
      <c r="D28" s="33" t="s">
        <v>35</v>
      </c>
      <c r="E28" s="33" t="s">
        <v>36</v>
      </c>
      <c r="F28" s="45" t="s">
        <v>41</v>
      </c>
      <c r="G28" s="45" t="s">
        <v>24</v>
      </c>
      <c r="H28" s="46" t="s">
        <v>42</v>
      </c>
      <c r="K28" s="47" t="s">
        <v>43</v>
      </c>
      <c r="L28" s="47" t="s">
        <v>44</v>
      </c>
      <c r="M28" s="47" t="s">
        <v>45</v>
      </c>
      <c r="N28" s="47" t="s">
        <v>46</v>
      </c>
      <c r="O28" s="47" t="s">
        <v>47</v>
      </c>
      <c r="P28" s="47" t="s">
        <v>48</v>
      </c>
      <c r="Q28" s="47" t="s">
        <v>49</v>
      </c>
      <c r="R28" s="47" t="s">
        <v>50</v>
      </c>
      <c r="S28" s="47" t="s">
        <v>51</v>
      </c>
      <c r="T28" s="47" t="s">
        <v>52</v>
      </c>
      <c r="U28" s="47" t="s">
        <v>53</v>
      </c>
      <c r="V28" s="47" t="s">
        <v>54</v>
      </c>
      <c r="W28" s="47" t="s">
        <v>55</v>
      </c>
    </row>
    <row r="29" ht="15.75" customHeight="1">
      <c r="A29" s="48" t="s">
        <v>43</v>
      </c>
      <c r="B29" s="28" t="s">
        <v>38</v>
      </c>
      <c r="C29" s="49" t="str">
        <f>B29</f>
        <v>Volume gasto (ml)</v>
      </c>
      <c r="D29" s="50"/>
      <c r="E29" s="50"/>
      <c r="F29" s="50"/>
      <c r="G29" s="50"/>
      <c r="H29" s="51"/>
      <c r="K29" s="47">
        <v>0.0</v>
      </c>
      <c r="L29" s="47">
        <v>1837189.0</v>
      </c>
      <c r="M29" s="52">
        <v>4256991.0</v>
      </c>
      <c r="N29" s="52"/>
      <c r="O29" s="53">
        <v>10.0</v>
      </c>
      <c r="P29" s="53">
        <v>0.14</v>
      </c>
      <c r="Q29" s="53">
        <f>(P29+O29)</f>
        <v>10.14</v>
      </c>
      <c r="R29" s="47">
        <f>F26</f>
        <v>8.8</v>
      </c>
      <c r="S29" s="47">
        <f t="shared" ref="S29:S35" si="6">(((0.0035162*L29-1678.55)*$Q$29/1000)/($P$29*60.05))</f>
        <v>5.766995596</v>
      </c>
      <c r="T29" s="47">
        <f t="shared" ref="T29:T35" si="7">((0.0000000137*M29+0.000227912096202)*$Q$29)/$P$29</f>
        <v>4.240597889</v>
      </c>
      <c r="U29" s="47">
        <f t="shared" ref="U29:U35" si="8">((0.0000000109*N29+0.000273309544858)*$Q$29)/$P$29</f>
        <v>0.01979541989</v>
      </c>
      <c r="V29" s="47">
        <f t="shared" ref="V29:V35" si="9">($S$29-S29)/$S$29</f>
        <v>0</v>
      </c>
      <c r="W29" s="47">
        <f t="shared" ref="W29:W35" si="10">($T$29-T29)/$T$29</f>
        <v>0</v>
      </c>
    </row>
    <row r="30" ht="15.75" customHeight="1">
      <c r="A30" s="54">
        <v>30.0</v>
      </c>
      <c r="B30" s="28">
        <v>3.5</v>
      </c>
      <c r="C30" s="28">
        <v>3.5</v>
      </c>
      <c r="D30" s="28">
        <f t="shared" ref="D30:D35" si="11">(B30+C30)/2</f>
        <v>3.5</v>
      </c>
      <c r="E30" s="14">
        <f t="shared" ref="E30:E35" si="12">(D30/1000)*$B$21*$C$15</f>
        <v>0.42035</v>
      </c>
      <c r="F30" s="28">
        <f t="shared" ref="F30:F35" si="13">(E30/$C$15)/0.001</f>
        <v>7</v>
      </c>
      <c r="G30" s="55">
        <f>F26</f>
        <v>8.8</v>
      </c>
      <c r="H30" s="56">
        <f t="shared" ref="H30:H35" si="14">($G$30-F30)/$G$30</f>
        <v>0.2045454545</v>
      </c>
      <c r="I30" s="57">
        <f t="shared" ref="I30:I35" si="15">($F$26/$T$29)-(F30/$T$29)</f>
        <v>0.424468447</v>
      </c>
      <c r="K30" s="47">
        <v>30.0</v>
      </c>
      <c r="L30" s="47">
        <v>1555844.0</v>
      </c>
      <c r="M30" s="47">
        <v>2693890.0</v>
      </c>
      <c r="N30" s="47">
        <v>2287318.0</v>
      </c>
      <c r="O30" s="58"/>
      <c r="P30" s="58"/>
      <c r="Q30" s="58"/>
      <c r="R30" s="47">
        <f t="shared" ref="R30:R35" si="16">F30</f>
        <v>7</v>
      </c>
      <c r="S30" s="47">
        <f t="shared" si="6"/>
        <v>4.573805393</v>
      </c>
      <c r="T30" s="47">
        <f t="shared" si="7"/>
        <v>2.689577426</v>
      </c>
      <c r="U30" s="47">
        <f t="shared" si="8"/>
        <v>1.825567629</v>
      </c>
      <c r="V30" s="47">
        <f t="shared" si="9"/>
        <v>0.2068997943</v>
      </c>
      <c r="W30" s="47">
        <f t="shared" si="10"/>
        <v>0.3657551371</v>
      </c>
    </row>
    <row r="31" ht="15.75" customHeight="1">
      <c r="A31" s="54">
        <v>60.0</v>
      </c>
      <c r="B31" s="28">
        <v>2.9</v>
      </c>
      <c r="C31" s="28">
        <v>3.0</v>
      </c>
      <c r="D31" s="28">
        <f t="shared" si="11"/>
        <v>2.95</v>
      </c>
      <c r="E31" s="14">
        <f t="shared" si="12"/>
        <v>0.354295</v>
      </c>
      <c r="F31" s="28">
        <f t="shared" si="13"/>
        <v>5.9</v>
      </c>
      <c r="G31" s="58"/>
      <c r="H31" s="56">
        <f t="shared" si="14"/>
        <v>0.3295454545</v>
      </c>
      <c r="I31" s="57">
        <f t="shared" si="15"/>
        <v>0.6838658312</v>
      </c>
      <c r="K31" s="47">
        <v>60.0</v>
      </c>
      <c r="L31" s="47">
        <v>1403738.0</v>
      </c>
      <c r="M31" s="47">
        <v>1664283.0</v>
      </c>
      <c r="N31" s="47">
        <v>4070180.0</v>
      </c>
      <c r="O31" s="58"/>
      <c r="P31" s="58"/>
      <c r="Q31" s="58"/>
      <c r="R31" s="47">
        <f t="shared" si="16"/>
        <v>5.9</v>
      </c>
      <c r="S31" s="47">
        <f t="shared" si="6"/>
        <v>3.928720573</v>
      </c>
      <c r="T31" s="47">
        <f t="shared" si="7"/>
        <v>1.667927817</v>
      </c>
      <c r="U31" s="47">
        <f t="shared" si="8"/>
        <v>3.233086239</v>
      </c>
      <c r="V31" s="47">
        <f t="shared" si="9"/>
        <v>0.3187578337</v>
      </c>
      <c r="W31" s="47">
        <f t="shared" si="10"/>
        <v>0.6066762609</v>
      </c>
    </row>
    <row r="32" ht="15.75" customHeight="1">
      <c r="A32" s="54">
        <v>90.0</v>
      </c>
      <c r="B32" s="28">
        <v>2.7</v>
      </c>
      <c r="C32" s="28">
        <v>2.65</v>
      </c>
      <c r="D32" s="28">
        <f t="shared" si="11"/>
        <v>2.675</v>
      </c>
      <c r="E32" s="14">
        <f t="shared" si="12"/>
        <v>0.3212675</v>
      </c>
      <c r="F32" s="28">
        <f t="shared" si="13"/>
        <v>5.35</v>
      </c>
      <c r="G32" s="58"/>
      <c r="H32" s="56">
        <f t="shared" si="14"/>
        <v>0.3920454545</v>
      </c>
      <c r="I32" s="57">
        <f t="shared" si="15"/>
        <v>0.8135645234</v>
      </c>
      <c r="K32" s="47">
        <v>90.0</v>
      </c>
      <c r="L32" s="47">
        <v>1358291.0</v>
      </c>
      <c r="M32" s="47">
        <v>1176482.0</v>
      </c>
      <c r="N32" s="47">
        <v>5065715.0</v>
      </c>
      <c r="O32" s="58"/>
      <c r="P32" s="58"/>
      <c r="Q32" s="58"/>
      <c r="R32" s="47">
        <f t="shared" si="16"/>
        <v>5.35</v>
      </c>
      <c r="S32" s="47">
        <f t="shared" si="6"/>
        <v>3.735978867</v>
      </c>
      <c r="T32" s="47">
        <f t="shared" si="7"/>
        <v>1.183896822</v>
      </c>
      <c r="U32" s="47">
        <f t="shared" si="8"/>
        <v>4.019032678</v>
      </c>
      <c r="V32" s="47">
        <f t="shared" si="9"/>
        <v>0.3521793445</v>
      </c>
      <c r="W32" s="47">
        <f t="shared" si="10"/>
        <v>0.7208184191</v>
      </c>
    </row>
    <row r="33" ht="15.75" customHeight="1">
      <c r="A33" s="54">
        <v>120.0</v>
      </c>
      <c r="B33" s="28">
        <v>2.6</v>
      </c>
      <c r="C33" s="28">
        <v>2.6</v>
      </c>
      <c r="D33" s="28">
        <f t="shared" si="11"/>
        <v>2.6</v>
      </c>
      <c r="E33" s="14">
        <f t="shared" si="12"/>
        <v>0.31226</v>
      </c>
      <c r="F33" s="28">
        <f t="shared" si="13"/>
        <v>5.2</v>
      </c>
      <c r="G33" s="58"/>
      <c r="H33" s="56">
        <f t="shared" si="14"/>
        <v>0.4090909091</v>
      </c>
      <c r="I33" s="57">
        <f t="shared" si="15"/>
        <v>0.848936894</v>
      </c>
      <c r="K33" s="47">
        <v>120.0</v>
      </c>
      <c r="L33" s="47">
        <v>1090101.0</v>
      </c>
      <c r="M33" s="47">
        <v>770332.0</v>
      </c>
      <c r="N33" s="47">
        <v>4499289.0</v>
      </c>
      <c r="O33" s="58"/>
      <c r="P33" s="58"/>
      <c r="Q33" s="58"/>
      <c r="R33" s="47">
        <f t="shared" si="16"/>
        <v>5.2</v>
      </c>
      <c r="S33" s="47">
        <f t="shared" si="6"/>
        <v>2.598579303</v>
      </c>
      <c r="T33" s="47">
        <f t="shared" si="7"/>
        <v>0.7808857817</v>
      </c>
      <c r="U33" s="47">
        <f t="shared" si="8"/>
        <v>3.571855534</v>
      </c>
      <c r="V33" s="47">
        <f t="shared" si="9"/>
        <v>0.5494050134</v>
      </c>
      <c r="W33" s="47">
        <f t="shared" si="10"/>
        <v>0.8158547917</v>
      </c>
    </row>
    <row r="34" ht="15.75" customHeight="1">
      <c r="A34" s="54">
        <v>240.0</v>
      </c>
      <c r="B34" s="28">
        <v>2.5</v>
      </c>
      <c r="C34" s="28">
        <v>2.5</v>
      </c>
      <c r="D34" s="28">
        <f t="shared" si="11"/>
        <v>2.5</v>
      </c>
      <c r="E34" s="14">
        <f t="shared" si="12"/>
        <v>0.30025</v>
      </c>
      <c r="F34" s="28">
        <f t="shared" si="13"/>
        <v>5</v>
      </c>
      <c r="G34" s="58"/>
      <c r="H34" s="56">
        <f t="shared" si="14"/>
        <v>0.4318181818</v>
      </c>
      <c r="I34" s="57">
        <f t="shared" si="15"/>
        <v>0.8961000547</v>
      </c>
      <c r="K34" s="47">
        <v>240.0</v>
      </c>
      <c r="L34" s="47">
        <v>1150613.0</v>
      </c>
      <c r="M34" s="47">
        <v>606880.0</v>
      </c>
      <c r="N34" s="47">
        <v>5258770.0</v>
      </c>
      <c r="O34" s="58"/>
      <c r="P34" s="58"/>
      <c r="Q34" s="58"/>
      <c r="R34" s="47">
        <f t="shared" si="16"/>
        <v>5</v>
      </c>
      <c r="S34" s="47">
        <f t="shared" si="6"/>
        <v>2.855211998</v>
      </c>
      <c r="T34" s="47">
        <f t="shared" si="7"/>
        <v>0.6186970321</v>
      </c>
      <c r="U34" s="47">
        <f t="shared" si="8"/>
        <v>4.171444084</v>
      </c>
      <c r="V34" s="47">
        <f t="shared" si="9"/>
        <v>0.5049047722</v>
      </c>
      <c r="W34" s="47">
        <f t="shared" si="10"/>
        <v>0.854101462</v>
      </c>
    </row>
    <row r="35" ht="15.75" customHeight="1">
      <c r="A35" s="54">
        <v>360.0</v>
      </c>
      <c r="B35" s="28">
        <v>2.5</v>
      </c>
      <c r="C35" s="28">
        <v>2.5</v>
      </c>
      <c r="D35" s="28">
        <f t="shared" si="11"/>
        <v>2.5</v>
      </c>
      <c r="E35" s="14">
        <f t="shared" si="12"/>
        <v>0.30025</v>
      </c>
      <c r="F35" s="28">
        <f t="shared" si="13"/>
        <v>5</v>
      </c>
      <c r="G35" s="50"/>
      <c r="H35" s="56">
        <f t="shared" si="14"/>
        <v>0.4318181818</v>
      </c>
      <c r="I35" s="57">
        <f t="shared" si="15"/>
        <v>0.8961000547</v>
      </c>
      <c r="K35" s="59">
        <v>360.0</v>
      </c>
      <c r="L35" s="59">
        <v>1110221.0</v>
      </c>
      <c r="M35" s="59">
        <v>566935.0</v>
      </c>
      <c r="N35" s="59">
        <v>5080522.0</v>
      </c>
      <c r="O35" s="50"/>
      <c r="P35" s="50"/>
      <c r="Q35" s="50"/>
      <c r="R35" s="59">
        <f t="shared" si="16"/>
        <v>5</v>
      </c>
      <c r="S35" s="59">
        <f t="shared" si="6"/>
        <v>2.683908656</v>
      </c>
      <c r="T35" s="59">
        <f t="shared" si="7"/>
        <v>0.5790607499</v>
      </c>
      <c r="U35" s="59">
        <f t="shared" si="8"/>
        <v>4.030722381</v>
      </c>
      <c r="V35" s="59">
        <f t="shared" si="9"/>
        <v>0.5346088597</v>
      </c>
      <c r="W35" s="59">
        <f t="shared" si="10"/>
        <v>0.8634483238</v>
      </c>
    </row>
    <row r="36" ht="15.75" customHeight="1">
      <c r="K36" s="60"/>
      <c r="L36" s="60"/>
      <c r="M36" s="60"/>
      <c r="N36" s="60"/>
    </row>
    <row r="37" ht="15.75" customHeight="1">
      <c r="H37" s="57" t="s">
        <v>56</v>
      </c>
      <c r="I37" s="57">
        <f>I35^2/((1-I35)*(F26/T29-I35))</f>
        <v>6.554729551</v>
      </c>
      <c r="K37" s="60"/>
      <c r="L37" s="60"/>
      <c r="M37" s="60"/>
      <c r="N37" s="60"/>
      <c r="V37" s="57">
        <v>13.7</v>
      </c>
    </row>
    <row r="38" ht="15.75" customHeight="1">
      <c r="S38" s="57">
        <v>19.0</v>
      </c>
      <c r="T38" s="57">
        <f t="shared" ref="T38:T43" si="17">S38/R30</f>
        <v>2.714285714</v>
      </c>
    </row>
    <row r="39" ht="15.75" customHeight="1">
      <c r="I39" s="61">
        <f>F26/T29</f>
        <v>2.075179074</v>
      </c>
      <c r="S39" s="57">
        <v>14.63</v>
      </c>
      <c r="T39" s="57">
        <f t="shared" si="17"/>
        <v>2.479661017</v>
      </c>
    </row>
    <row r="40" ht="15.75" customHeight="1">
      <c r="S40" s="57">
        <v>14.95</v>
      </c>
      <c r="T40" s="57">
        <f t="shared" si="17"/>
        <v>2.794392523</v>
      </c>
    </row>
    <row r="41" ht="15.75" customHeight="1">
      <c r="S41" s="57">
        <v>15.21</v>
      </c>
      <c r="T41" s="57">
        <f t="shared" si="17"/>
        <v>2.925</v>
      </c>
    </row>
    <row r="42" ht="15.75" customHeight="1">
      <c r="S42" s="57">
        <v>13.63</v>
      </c>
      <c r="T42" s="57">
        <f t="shared" si="17"/>
        <v>2.726</v>
      </c>
    </row>
    <row r="43" ht="15.75" customHeight="1">
      <c r="S43" s="57">
        <v>13.71</v>
      </c>
      <c r="T43" s="57">
        <f t="shared" si="17"/>
        <v>2.742</v>
      </c>
    </row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9">
    <mergeCell ref="A1:B1"/>
    <mergeCell ref="D2:E2"/>
    <mergeCell ref="D3:E3"/>
    <mergeCell ref="G3:H7"/>
    <mergeCell ref="A8:E8"/>
    <mergeCell ref="A12:H12"/>
    <mergeCell ref="A20:B20"/>
    <mergeCell ref="H28:H29"/>
    <mergeCell ref="O29:O35"/>
    <mergeCell ref="P29:P35"/>
    <mergeCell ref="Q29:Q35"/>
    <mergeCell ref="G30:G35"/>
    <mergeCell ref="D24:D25"/>
    <mergeCell ref="E24:E25"/>
    <mergeCell ref="F24:F25"/>
    <mergeCell ref="D28:D29"/>
    <mergeCell ref="E28:E29"/>
    <mergeCell ref="F28:F29"/>
    <mergeCell ref="G28:G29"/>
  </mergeCells>
  <printOptions/>
  <pageMargins bottom="0.7875" footer="0.0" header="0.0" left="0.511805555555555" right="0.511805555555555" top="0.78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71"/>
    <col customWidth="1" min="2" max="2" width="21.0"/>
    <col customWidth="1" min="3" max="3" width="18.29"/>
    <col customWidth="1" min="4" max="4" width="22.29"/>
    <col customWidth="1" min="5" max="5" width="18.14"/>
    <col customWidth="1" min="6" max="6" width="21.0"/>
    <col customWidth="1" min="7" max="8" width="24.43"/>
    <col customWidth="1" min="9" max="10" width="8.71"/>
    <col customWidth="1" min="11" max="11" width="12.43"/>
    <col customWidth="1" min="12" max="12" width="10.57"/>
    <col customWidth="1" min="13" max="13" width="11.86"/>
    <col customWidth="1" min="14" max="14" width="11.57"/>
    <col customWidth="1" min="15" max="15" width="12.86"/>
    <col customWidth="1" min="16" max="16" width="23.29"/>
    <col customWidth="1" min="17" max="17" width="10.0"/>
    <col customWidth="1" min="18" max="18" width="8.71"/>
    <col customWidth="1" min="19" max="19" width="10.71"/>
    <col customWidth="1" min="20" max="20" width="12.29"/>
    <col customWidth="1" min="21" max="21" width="9.86"/>
    <col customWidth="1" min="22" max="26" width="8.71"/>
  </cols>
  <sheetData>
    <row r="1">
      <c r="A1" s="1" t="s">
        <v>0</v>
      </c>
      <c r="C1" s="2"/>
      <c r="D1" s="2"/>
      <c r="E1" s="2"/>
      <c r="F1" s="3"/>
      <c r="G1" s="3"/>
      <c r="H1" s="3"/>
    </row>
    <row r="2">
      <c r="A2" s="4"/>
      <c r="B2" s="5" t="s">
        <v>1</v>
      </c>
      <c r="C2" s="2"/>
      <c r="D2" s="6" t="s">
        <v>2</v>
      </c>
      <c r="E2" s="7"/>
      <c r="F2" s="3"/>
      <c r="G2" s="3"/>
      <c r="H2" s="3"/>
    </row>
    <row r="3" ht="15.0" customHeight="1">
      <c r="A3" s="8"/>
      <c r="B3" s="5" t="s">
        <v>3</v>
      </c>
      <c r="C3" s="2"/>
      <c r="D3" s="9">
        <f>C10*C15/C14</f>
        <v>1.362481281</v>
      </c>
      <c r="E3" s="10"/>
      <c r="F3" s="3"/>
      <c r="G3" s="11" t="s">
        <v>57</v>
      </c>
      <c r="H3" s="7"/>
    </row>
    <row r="4">
      <c r="A4" s="12"/>
      <c r="B4" s="5" t="s">
        <v>5</v>
      </c>
      <c r="C4" s="2"/>
      <c r="D4" s="13" t="s">
        <v>6</v>
      </c>
      <c r="E4" s="14">
        <f>B10*D15*D14/(D15+D14*D3)</f>
        <v>119.6602539</v>
      </c>
      <c r="F4" s="3"/>
      <c r="G4" s="15"/>
      <c r="H4" s="16"/>
    </row>
    <row r="5">
      <c r="A5" s="17"/>
      <c r="B5" s="5" t="s">
        <v>7</v>
      </c>
      <c r="C5" s="2"/>
      <c r="D5" s="13" t="s">
        <v>8</v>
      </c>
      <c r="E5" s="14">
        <f>E4*D3</f>
        <v>163.0348561</v>
      </c>
      <c r="F5" s="3"/>
      <c r="G5" s="15"/>
      <c r="H5" s="16"/>
    </row>
    <row r="6">
      <c r="A6" s="18"/>
      <c r="B6" s="5" t="s">
        <v>9</v>
      </c>
      <c r="C6" s="2"/>
      <c r="D6" s="13" t="s">
        <v>10</v>
      </c>
      <c r="E6" s="14">
        <f>E10*B10</f>
        <v>3.03</v>
      </c>
      <c r="F6" s="3"/>
      <c r="G6" s="15"/>
      <c r="H6" s="16"/>
    </row>
    <row r="7">
      <c r="A7" s="2"/>
      <c r="B7" s="2"/>
      <c r="C7" s="2"/>
      <c r="D7" s="2"/>
      <c r="E7" s="3"/>
      <c r="F7" s="3"/>
      <c r="G7" s="19"/>
      <c r="H7" s="20"/>
    </row>
    <row r="8">
      <c r="A8" s="21" t="s">
        <v>11</v>
      </c>
      <c r="F8" s="3"/>
      <c r="G8" s="3"/>
      <c r="H8" s="3"/>
    </row>
    <row r="9">
      <c r="A9" s="22" t="s">
        <v>12</v>
      </c>
      <c r="B9" s="22" t="s">
        <v>13</v>
      </c>
      <c r="C9" s="22" t="s">
        <v>14</v>
      </c>
      <c r="D9" s="22" t="s">
        <v>15</v>
      </c>
      <c r="E9" s="23" t="s">
        <v>16</v>
      </c>
      <c r="F9" s="3"/>
      <c r="G9" s="3"/>
      <c r="H9" s="3"/>
    </row>
    <row r="10">
      <c r="A10" s="24">
        <v>350.0</v>
      </c>
      <c r="B10" s="24">
        <v>303.0</v>
      </c>
      <c r="C10" s="24">
        <v>2.0</v>
      </c>
      <c r="D10" s="24">
        <v>90.0</v>
      </c>
      <c r="E10" s="24">
        <v>0.01</v>
      </c>
      <c r="F10" s="3"/>
      <c r="G10" s="3"/>
      <c r="H10" s="3"/>
    </row>
    <row r="11">
      <c r="A11" s="3"/>
      <c r="B11" s="3"/>
      <c r="C11" s="3"/>
      <c r="D11" s="3"/>
      <c r="E11" s="3"/>
      <c r="F11" s="3"/>
      <c r="G11" s="3"/>
      <c r="H11" s="3"/>
    </row>
    <row r="12">
      <c r="A12" s="25" t="s">
        <v>17</v>
      </c>
      <c r="B12" s="26"/>
      <c r="C12" s="26"/>
      <c r="D12" s="26"/>
      <c r="E12" s="26"/>
      <c r="F12" s="26"/>
      <c r="G12" s="26"/>
      <c r="H12" s="27"/>
    </row>
    <row r="13">
      <c r="A13" s="13"/>
      <c r="B13" s="13" t="s">
        <v>18</v>
      </c>
      <c r="C13" s="13" t="s">
        <v>19</v>
      </c>
      <c r="D13" s="13" t="s">
        <v>20</v>
      </c>
      <c r="E13" s="13" t="s">
        <v>21</v>
      </c>
      <c r="F13" s="13" t="s">
        <v>22</v>
      </c>
      <c r="G13" s="13" t="s">
        <v>23</v>
      </c>
      <c r="H13" s="28" t="s">
        <v>24</v>
      </c>
    </row>
    <row r="14" ht="15.0" customHeight="1">
      <c r="A14" s="13" t="s">
        <v>6</v>
      </c>
      <c r="B14" s="14">
        <f t="shared" ref="B14:B15" si="1">E4</f>
        <v>119.6602539</v>
      </c>
      <c r="C14" s="29">
        <v>88.148</v>
      </c>
      <c r="D14" s="29">
        <v>0.81</v>
      </c>
      <c r="E14" s="14">
        <f t="shared" ref="E14:E15" si="2">B14/D14</f>
        <v>147.7287085</v>
      </c>
      <c r="F14" s="14">
        <f t="shared" ref="F14:F15" si="3">B14/C14</f>
        <v>1.357492557</v>
      </c>
      <c r="G14" s="28">
        <f t="shared" ref="G14:G15" si="4">E18*D14</f>
        <v>119.88</v>
      </c>
      <c r="H14" s="14">
        <f t="shared" ref="H14:H15" si="5">(G14/C14)/($B$18/1000)</f>
        <v>4.488400921</v>
      </c>
    </row>
    <row r="15">
      <c r="A15" s="13" t="s">
        <v>25</v>
      </c>
      <c r="B15" s="14">
        <f t="shared" si="1"/>
        <v>163.0348561</v>
      </c>
      <c r="C15" s="29">
        <v>60.05</v>
      </c>
      <c r="D15" s="29">
        <v>1.05</v>
      </c>
      <c r="E15" s="14">
        <f t="shared" si="2"/>
        <v>155.2712915</v>
      </c>
      <c r="F15" s="14">
        <f t="shared" si="3"/>
        <v>2.714985113</v>
      </c>
      <c r="G15" s="28">
        <f t="shared" si="4"/>
        <v>163.8</v>
      </c>
      <c r="H15" s="14">
        <f t="shared" si="5"/>
        <v>9.002398991</v>
      </c>
    </row>
    <row r="16">
      <c r="A16" s="3"/>
      <c r="B16" s="3"/>
      <c r="C16" s="3"/>
      <c r="D16" s="3"/>
      <c r="E16" s="3"/>
      <c r="F16" s="3"/>
      <c r="G16" s="3"/>
      <c r="H16" s="14">
        <f>H14/H15</f>
        <v>0.4985783151</v>
      </c>
    </row>
    <row r="17">
      <c r="A17" s="13" t="s">
        <v>26</v>
      </c>
      <c r="B17" s="28">
        <f>F15/F14</f>
        <v>2</v>
      </c>
      <c r="C17" s="3"/>
      <c r="D17" s="3"/>
      <c r="E17" s="3" t="s">
        <v>27</v>
      </c>
      <c r="F17" s="3"/>
      <c r="G17" s="3"/>
      <c r="H17" s="3"/>
    </row>
    <row r="18">
      <c r="A18" s="13" t="s">
        <v>28</v>
      </c>
      <c r="B18" s="14">
        <f>E14+E15</f>
        <v>303</v>
      </c>
      <c r="C18" s="3"/>
      <c r="D18" s="30" t="s">
        <v>6</v>
      </c>
      <c r="E18" s="17">
        <v>148.0</v>
      </c>
      <c r="F18" s="3"/>
      <c r="H18" s="3">
        <f>H15/H14</f>
        <v>2.005702955</v>
      </c>
    </row>
    <row r="19">
      <c r="A19" s="3"/>
      <c r="B19" s="3"/>
      <c r="C19" s="3"/>
      <c r="D19" s="3" t="s">
        <v>29</v>
      </c>
      <c r="E19" s="17">
        <v>156.0</v>
      </c>
      <c r="F19" s="3"/>
      <c r="H19" s="3"/>
    </row>
    <row r="20">
      <c r="A20" s="25" t="s">
        <v>30</v>
      </c>
      <c r="B20" s="27"/>
      <c r="C20" s="3"/>
      <c r="D20" s="3"/>
      <c r="E20" s="3"/>
      <c r="F20" s="3"/>
      <c r="H20" s="3"/>
    </row>
    <row r="21" ht="15.75" customHeight="1">
      <c r="A21" s="13" t="s">
        <v>31</v>
      </c>
      <c r="B21" s="31">
        <v>2.0</v>
      </c>
      <c r="C21" s="3"/>
      <c r="D21" s="3"/>
      <c r="E21" s="3"/>
      <c r="F21" s="3"/>
      <c r="G21" s="3"/>
      <c r="H21" s="3"/>
    </row>
    <row r="22" ht="15.75" customHeight="1">
      <c r="A22" s="13" t="s">
        <v>32</v>
      </c>
      <c r="B22" s="31"/>
      <c r="C22" s="3"/>
      <c r="D22" s="3"/>
      <c r="E22" s="3"/>
      <c r="F22" s="3"/>
      <c r="G22" s="3"/>
      <c r="H22" s="3"/>
    </row>
    <row r="23" ht="15.75" customHeight="1">
      <c r="A23" s="30"/>
      <c r="B23" s="3"/>
      <c r="C23" s="3"/>
      <c r="D23" s="3"/>
      <c r="E23" s="3"/>
      <c r="F23" s="3"/>
      <c r="G23" s="3"/>
      <c r="H23" s="3"/>
    </row>
    <row r="24" ht="15.0" customHeight="1">
      <c r="A24" s="3"/>
      <c r="B24" s="32" t="s">
        <v>33</v>
      </c>
      <c r="C24" s="32" t="s">
        <v>34</v>
      </c>
      <c r="D24" s="33" t="s">
        <v>35</v>
      </c>
      <c r="E24" s="33" t="s">
        <v>36</v>
      </c>
      <c r="F24" s="33" t="s">
        <v>37</v>
      </c>
      <c r="G24" s="3"/>
      <c r="H24" s="3"/>
    </row>
    <row r="25" ht="15.75" customHeight="1">
      <c r="A25" s="3"/>
      <c r="B25" s="34" t="s">
        <v>38</v>
      </c>
      <c r="C25" s="35" t="str">
        <f>B25</f>
        <v>Volume gasto (ml)</v>
      </c>
      <c r="D25" s="36"/>
      <c r="E25" s="36"/>
      <c r="F25" s="36"/>
      <c r="G25" s="3"/>
      <c r="H25" s="3"/>
    </row>
    <row r="26" ht="15.75" customHeight="1">
      <c r="A26" s="37" t="s">
        <v>39</v>
      </c>
      <c r="B26" s="38">
        <v>4.45</v>
      </c>
      <c r="C26" s="39">
        <v>4.5</v>
      </c>
      <c r="D26" s="40">
        <f>(B26+C26)/2</f>
        <v>4.475</v>
      </c>
      <c r="E26" s="41">
        <f>(D26/1000)*$B$21*$C$15</f>
        <v>0.5374475</v>
      </c>
      <c r="F26" s="42">
        <f>(E26/$C$15)/0.001</f>
        <v>8.95</v>
      </c>
      <c r="G26" s="2"/>
      <c r="H26" s="43"/>
      <c r="O26" s="44"/>
      <c r="P26" s="44" t="s">
        <v>40</v>
      </c>
      <c r="Q26" s="44"/>
      <c r="R26" s="44"/>
    </row>
    <row r="27" ht="15.75" customHeight="1">
      <c r="A27" s="3"/>
      <c r="B27" s="3"/>
      <c r="C27" s="3"/>
      <c r="D27" s="3"/>
      <c r="E27" s="3"/>
      <c r="F27" s="3"/>
      <c r="G27" s="3"/>
      <c r="H27" s="43"/>
      <c r="O27" s="44"/>
      <c r="P27" s="44"/>
      <c r="Q27" s="44"/>
      <c r="R27" s="44"/>
    </row>
    <row r="28" ht="15.0" customHeight="1">
      <c r="A28" s="3"/>
      <c r="B28" s="32" t="s">
        <v>33</v>
      </c>
      <c r="C28" s="32" t="s">
        <v>34</v>
      </c>
      <c r="D28" s="33" t="s">
        <v>35</v>
      </c>
      <c r="E28" s="33" t="s">
        <v>36</v>
      </c>
      <c r="F28" s="45" t="s">
        <v>41</v>
      </c>
      <c r="G28" s="45" t="s">
        <v>24</v>
      </c>
      <c r="H28" s="46" t="s">
        <v>42</v>
      </c>
      <c r="K28" s="47" t="s">
        <v>43</v>
      </c>
      <c r="L28" s="47" t="s">
        <v>44</v>
      </c>
      <c r="M28" s="47" t="s">
        <v>45</v>
      </c>
      <c r="N28" s="47" t="s">
        <v>46</v>
      </c>
      <c r="O28" s="47" t="s">
        <v>47</v>
      </c>
      <c r="P28" s="47" t="s">
        <v>48</v>
      </c>
      <c r="Q28" s="47" t="s">
        <v>49</v>
      </c>
      <c r="R28" s="47" t="s">
        <v>50</v>
      </c>
      <c r="S28" s="47" t="s">
        <v>51</v>
      </c>
      <c r="T28" s="47" t="s">
        <v>52</v>
      </c>
      <c r="U28" s="47" t="s">
        <v>53</v>
      </c>
      <c r="V28" s="47" t="s">
        <v>54</v>
      </c>
      <c r="W28" s="47" t="s">
        <v>55</v>
      </c>
    </row>
    <row r="29" ht="15.75" customHeight="1">
      <c r="A29" s="48" t="s">
        <v>43</v>
      </c>
      <c r="B29" s="28" t="s">
        <v>38</v>
      </c>
      <c r="C29" s="49" t="str">
        <f>B29</f>
        <v>Volume gasto (ml)</v>
      </c>
      <c r="D29" s="50"/>
      <c r="E29" s="50"/>
      <c r="F29" s="50"/>
      <c r="G29" s="50"/>
      <c r="H29" s="51"/>
      <c r="K29" s="47">
        <v>0.0</v>
      </c>
      <c r="L29" s="47">
        <v>1890346.0</v>
      </c>
      <c r="M29" s="52">
        <v>4319411.0</v>
      </c>
      <c r="N29" s="52"/>
      <c r="O29" s="53">
        <v>10.0</v>
      </c>
      <c r="P29" s="53">
        <v>0.14</v>
      </c>
      <c r="Q29" s="53">
        <f>(P29+O29)</f>
        <v>10.14</v>
      </c>
      <c r="R29" s="47">
        <f>F26</f>
        <v>8.95</v>
      </c>
      <c r="S29" s="47">
        <f t="shared" ref="S29:S35" si="6">(((0.0035162*L29-1678.55)*$Q$29/1000)/($P$29*60.05))</f>
        <v>5.992435577</v>
      </c>
      <c r="T29" s="47">
        <f t="shared" ref="T29:T35" si="7">((0.0000000137*M29+0.000227912096202)*$Q$29)/$P$29</f>
        <v>4.302535471</v>
      </c>
      <c r="U29" s="47">
        <f t="shared" ref="U29:U35" si="8">((0.0000000109*N29+0.000273309544858)*$Q$29)/$P$29</f>
        <v>0.01979541989</v>
      </c>
      <c r="V29" s="47">
        <f t="shared" ref="V29:V35" si="9">($S$29-S29)/$S$29</f>
        <v>0</v>
      </c>
      <c r="W29" s="47">
        <f t="shared" ref="W29:W35" si="10">($T$29-T29)/$T$29</f>
        <v>0</v>
      </c>
    </row>
    <row r="30" ht="15.75" customHeight="1">
      <c r="A30" s="54">
        <v>30.0</v>
      </c>
      <c r="B30" s="28">
        <v>3.5</v>
      </c>
      <c r="C30" s="28">
        <v>3.5</v>
      </c>
      <c r="D30" s="28">
        <f t="shared" ref="D30:D35" si="11">(B30+C30)/2</f>
        <v>3.5</v>
      </c>
      <c r="E30" s="14">
        <f t="shared" ref="E30:E35" si="12">(D30/1000)*$B$21*$C$15</f>
        <v>0.42035</v>
      </c>
      <c r="F30" s="28">
        <f t="shared" ref="F30:F35" si="13">(E30/$C$15)/0.001</f>
        <v>7</v>
      </c>
      <c r="G30" s="55">
        <f>F26</f>
        <v>8.95</v>
      </c>
      <c r="H30" s="56">
        <f t="shared" ref="H30:H35" si="14">($G$30-F30)/$G$30</f>
        <v>0.217877095</v>
      </c>
      <c r="I30" s="57">
        <f t="shared" ref="I30:I35" si="15">($F$26/$T$29)-(F30/$T$29)</f>
        <v>0.4532211328</v>
      </c>
      <c r="K30" s="47">
        <v>30.0</v>
      </c>
      <c r="L30" s="47">
        <v>1595335.0</v>
      </c>
      <c r="M30" s="47">
        <v>2881769.0</v>
      </c>
      <c r="N30" s="47">
        <v>2264758.0</v>
      </c>
      <c r="O30" s="58"/>
      <c r="P30" s="58"/>
      <c r="Q30" s="58"/>
      <c r="R30" s="47">
        <f t="shared" ref="R30:R35" si="16">F30</f>
        <v>7</v>
      </c>
      <c r="S30" s="47">
        <f t="shared" si="6"/>
        <v>4.741287575</v>
      </c>
      <c r="T30" s="47">
        <f t="shared" si="7"/>
        <v>2.87600439</v>
      </c>
      <c r="U30" s="47">
        <f t="shared" si="8"/>
        <v>1.807757154</v>
      </c>
      <c r="V30" s="47">
        <f t="shared" si="9"/>
        <v>0.2087878937</v>
      </c>
      <c r="W30" s="47">
        <f t="shared" si="10"/>
        <v>0.3315559141</v>
      </c>
    </row>
    <row r="31" ht="15.75" customHeight="1">
      <c r="A31" s="54">
        <v>60.0</v>
      </c>
      <c r="B31" s="28">
        <v>2.9</v>
      </c>
      <c r="C31" s="28">
        <v>2.85</v>
      </c>
      <c r="D31" s="28">
        <f t="shared" si="11"/>
        <v>2.875</v>
      </c>
      <c r="E31" s="14">
        <f t="shared" si="12"/>
        <v>0.3452875</v>
      </c>
      <c r="F31" s="28">
        <f t="shared" si="13"/>
        <v>5.75</v>
      </c>
      <c r="G31" s="58"/>
      <c r="H31" s="56">
        <f t="shared" si="14"/>
        <v>0.3575418994</v>
      </c>
      <c r="I31" s="57">
        <f t="shared" si="15"/>
        <v>0.7437474999</v>
      </c>
      <c r="K31" s="47">
        <v>60.0</v>
      </c>
      <c r="L31" s="47">
        <v>1240631.0</v>
      </c>
      <c r="M31" s="47">
        <v>1274716.0</v>
      </c>
      <c r="N31" s="47">
        <v>4197498.0</v>
      </c>
      <c r="O31" s="58"/>
      <c r="P31" s="58"/>
      <c r="Q31" s="58"/>
      <c r="R31" s="47">
        <f t="shared" si="16"/>
        <v>5.75</v>
      </c>
      <c r="S31" s="47">
        <f t="shared" si="6"/>
        <v>3.236980274</v>
      </c>
      <c r="T31" s="47">
        <f t="shared" si="7"/>
        <v>1.281371614</v>
      </c>
      <c r="U31" s="47">
        <f t="shared" si="8"/>
        <v>3.333600162</v>
      </c>
      <c r="V31" s="47">
        <f t="shared" si="9"/>
        <v>0.4598222655</v>
      </c>
      <c r="W31" s="47">
        <f t="shared" si="10"/>
        <v>0.702182208</v>
      </c>
    </row>
    <row r="32" ht="15.75" customHeight="1">
      <c r="A32" s="54">
        <v>90.0</v>
      </c>
      <c r="B32" s="28">
        <v>2.6</v>
      </c>
      <c r="C32" s="28">
        <v>2.65</v>
      </c>
      <c r="D32" s="28">
        <f t="shared" si="11"/>
        <v>2.625</v>
      </c>
      <c r="E32" s="14">
        <f t="shared" si="12"/>
        <v>0.3152625</v>
      </c>
      <c r="F32" s="28">
        <f t="shared" si="13"/>
        <v>5.25</v>
      </c>
      <c r="G32" s="58"/>
      <c r="H32" s="56">
        <f t="shared" si="14"/>
        <v>0.4134078212</v>
      </c>
      <c r="I32" s="57">
        <f t="shared" si="15"/>
        <v>0.8599580468</v>
      </c>
      <c r="K32" s="47">
        <v>90.0</v>
      </c>
      <c r="L32" s="47">
        <v>1312376.0</v>
      </c>
      <c r="M32" s="47">
        <v>995520.0</v>
      </c>
      <c r="N32" s="47">
        <v>5439807.0</v>
      </c>
      <c r="O32" s="58"/>
      <c r="P32" s="58"/>
      <c r="Q32" s="58"/>
      <c r="R32" s="47">
        <f t="shared" si="16"/>
        <v>5.25</v>
      </c>
      <c r="S32" s="47">
        <f t="shared" si="6"/>
        <v>3.541252364</v>
      </c>
      <c r="T32" s="47">
        <f t="shared" si="7"/>
        <v>1.0043334</v>
      </c>
      <c r="U32" s="47">
        <f t="shared" si="8"/>
        <v>4.314367623</v>
      </c>
      <c r="V32" s="47">
        <f t="shared" si="9"/>
        <v>0.4090462354</v>
      </c>
      <c r="W32" s="47">
        <f t="shared" si="10"/>
        <v>0.7665717327</v>
      </c>
    </row>
    <row r="33" ht="15.75" customHeight="1">
      <c r="A33" s="54">
        <v>120.0</v>
      </c>
      <c r="B33" s="28">
        <v>2.6</v>
      </c>
      <c r="C33" s="28">
        <v>2.6</v>
      </c>
      <c r="D33" s="28">
        <f t="shared" si="11"/>
        <v>2.6</v>
      </c>
      <c r="E33" s="14">
        <f t="shared" si="12"/>
        <v>0.31226</v>
      </c>
      <c r="F33" s="28">
        <f t="shared" si="13"/>
        <v>5.2</v>
      </c>
      <c r="G33" s="58"/>
      <c r="H33" s="56">
        <f t="shared" si="14"/>
        <v>0.4189944134</v>
      </c>
      <c r="I33" s="57">
        <f t="shared" si="15"/>
        <v>0.8715791015</v>
      </c>
      <c r="K33" s="47">
        <v>120.0</v>
      </c>
      <c r="L33" s="47">
        <v>1101720.0</v>
      </c>
      <c r="M33" s="47">
        <v>682428.0</v>
      </c>
      <c r="N33" s="47">
        <v>4836173.0</v>
      </c>
      <c r="O33" s="58"/>
      <c r="P33" s="58"/>
      <c r="Q33" s="58"/>
      <c r="R33" s="47">
        <f t="shared" si="16"/>
        <v>5.2</v>
      </c>
      <c r="S33" s="47">
        <f t="shared" si="6"/>
        <v>2.647855732</v>
      </c>
      <c r="T33" s="47">
        <f t="shared" si="7"/>
        <v>0.693661154</v>
      </c>
      <c r="U33" s="47">
        <f t="shared" si="8"/>
        <v>3.837815827</v>
      </c>
      <c r="V33" s="47">
        <f t="shared" si="9"/>
        <v>0.558133634</v>
      </c>
      <c r="W33" s="47">
        <f t="shared" si="10"/>
        <v>0.8387785159</v>
      </c>
    </row>
    <row r="34" ht="15.75" customHeight="1">
      <c r="A34" s="54">
        <v>240.0</v>
      </c>
      <c r="B34" s="28">
        <v>2.5</v>
      </c>
      <c r="C34" s="28">
        <v>2.5</v>
      </c>
      <c r="D34" s="28">
        <f t="shared" si="11"/>
        <v>2.5</v>
      </c>
      <c r="E34" s="14">
        <f t="shared" si="12"/>
        <v>0.30025</v>
      </c>
      <c r="F34" s="28">
        <f t="shared" si="13"/>
        <v>5</v>
      </c>
      <c r="G34" s="58"/>
      <c r="H34" s="56">
        <f t="shared" si="14"/>
        <v>0.4413407821</v>
      </c>
      <c r="I34" s="57">
        <f t="shared" si="15"/>
        <v>0.9180633202</v>
      </c>
      <c r="K34" s="47">
        <v>240.0</v>
      </c>
      <c r="L34" s="47">
        <v>1108420.0</v>
      </c>
      <c r="M34" s="47">
        <v>582174.0</v>
      </c>
      <c r="N34" s="47">
        <v>5145046.0</v>
      </c>
      <c r="O34" s="58"/>
      <c r="P34" s="58"/>
      <c r="Q34" s="58"/>
      <c r="R34" s="47">
        <f t="shared" si="16"/>
        <v>5</v>
      </c>
      <c r="S34" s="47">
        <f t="shared" si="6"/>
        <v>2.676270576</v>
      </c>
      <c r="T34" s="47">
        <f t="shared" si="7"/>
        <v>0.5941819742</v>
      </c>
      <c r="U34" s="47">
        <f t="shared" si="8"/>
        <v>4.081662236</v>
      </c>
      <c r="V34" s="47">
        <f t="shared" si="9"/>
        <v>0.5533918484</v>
      </c>
      <c r="W34" s="47">
        <f t="shared" si="10"/>
        <v>0.8618995757</v>
      </c>
    </row>
    <row r="35" ht="15.75" customHeight="1">
      <c r="A35" s="54">
        <v>360.0</v>
      </c>
      <c r="B35" s="28">
        <v>2.5</v>
      </c>
      <c r="C35" s="28">
        <v>2.5</v>
      </c>
      <c r="D35" s="28">
        <f t="shared" si="11"/>
        <v>2.5</v>
      </c>
      <c r="E35" s="14">
        <f t="shared" si="12"/>
        <v>0.30025</v>
      </c>
      <c r="F35" s="28">
        <f t="shared" si="13"/>
        <v>5</v>
      </c>
      <c r="G35" s="50"/>
      <c r="H35" s="56">
        <f t="shared" si="14"/>
        <v>0.4413407821</v>
      </c>
      <c r="I35" s="57">
        <f t="shared" si="15"/>
        <v>0.9180633202</v>
      </c>
      <c r="K35" s="59">
        <v>360.0</v>
      </c>
      <c r="L35" s="59">
        <v>1151069.0</v>
      </c>
      <c r="M35" s="59">
        <v>594839.0</v>
      </c>
      <c r="N35" s="59">
        <v>5335557.0</v>
      </c>
      <c r="O35" s="50"/>
      <c r="P35" s="50"/>
      <c r="Q35" s="50"/>
      <c r="R35" s="59">
        <f t="shared" si="16"/>
        <v>5</v>
      </c>
      <c r="S35" s="59">
        <f t="shared" si="6"/>
        <v>2.857145904</v>
      </c>
      <c r="T35" s="59">
        <f t="shared" si="7"/>
        <v>0.6067490918</v>
      </c>
      <c r="U35" s="59">
        <f t="shared" si="8"/>
        <v>4.232065227</v>
      </c>
      <c r="V35" s="59">
        <f t="shared" si="9"/>
        <v>0.5232079065</v>
      </c>
      <c r="W35" s="59">
        <f t="shared" si="10"/>
        <v>0.8589787125</v>
      </c>
    </row>
    <row r="36" ht="15.75" customHeight="1">
      <c r="K36" s="60"/>
      <c r="L36" s="60"/>
      <c r="M36" s="60"/>
      <c r="N36" s="60"/>
    </row>
    <row r="37" ht="15.75" customHeight="1">
      <c r="H37" s="57" t="s">
        <v>56</v>
      </c>
      <c r="I37" s="57">
        <f>I35^2/((1-I35)*(F26/T29-I35))</f>
        <v>8.851591558</v>
      </c>
      <c r="K37" s="60"/>
      <c r="L37" s="60"/>
      <c r="M37" s="60"/>
      <c r="N37" s="60"/>
      <c r="R37" s="57" t="s">
        <v>58</v>
      </c>
    </row>
    <row r="38" ht="15.75" customHeight="1"/>
    <row r="39" ht="15.75" customHeight="1">
      <c r="I39" s="57">
        <f>F26/T29</f>
        <v>2.080168789</v>
      </c>
      <c r="R39" s="57">
        <v>10.9</v>
      </c>
      <c r="S39" s="57">
        <f t="shared" ref="S39:S44" si="17">R39/R30</f>
        <v>1.557142857</v>
      </c>
    </row>
    <row r="40" ht="15.75" customHeight="1">
      <c r="R40" s="57">
        <v>10.62</v>
      </c>
      <c r="S40" s="57">
        <f t="shared" si="17"/>
        <v>1.846956522</v>
      </c>
    </row>
    <row r="41" ht="15.75" customHeight="1">
      <c r="R41" s="57">
        <v>10.27</v>
      </c>
      <c r="S41" s="57">
        <f t="shared" si="17"/>
        <v>1.956190476</v>
      </c>
    </row>
    <row r="42" ht="15.75" customHeight="1">
      <c r="R42" s="57">
        <v>9.92</v>
      </c>
      <c r="S42" s="57">
        <f t="shared" si="17"/>
        <v>1.907692308</v>
      </c>
    </row>
    <row r="43" ht="15.75" customHeight="1">
      <c r="R43" s="57">
        <v>9.42</v>
      </c>
      <c r="S43" s="57">
        <f t="shared" si="17"/>
        <v>1.884</v>
      </c>
    </row>
    <row r="44" ht="15.75" customHeight="1">
      <c r="R44" s="57">
        <v>9.68</v>
      </c>
      <c r="S44" s="57">
        <f t="shared" si="17"/>
        <v>1.936</v>
      </c>
    </row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9">
    <mergeCell ref="A1:B1"/>
    <mergeCell ref="D2:E2"/>
    <mergeCell ref="D3:E3"/>
    <mergeCell ref="G3:H7"/>
    <mergeCell ref="A8:E8"/>
    <mergeCell ref="A12:H12"/>
    <mergeCell ref="A20:B20"/>
    <mergeCell ref="H28:H29"/>
    <mergeCell ref="O29:O35"/>
    <mergeCell ref="P29:P35"/>
    <mergeCell ref="Q29:Q35"/>
    <mergeCell ref="G30:G35"/>
    <mergeCell ref="D24:D25"/>
    <mergeCell ref="E24:E25"/>
    <mergeCell ref="F24:F25"/>
    <mergeCell ref="D28:D29"/>
    <mergeCell ref="E28:E29"/>
    <mergeCell ref="F28:F29"/>
    <mergeCell ref="G28:G29"/>
  </mergeCells>
  <printOptions/>
  <pageMargins bottom="0.7875" footer="0.0" header="0.0" left="0.511805555555555" right="0.511805555555555" top="0.78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71"/>
    <col customWidth="1" min="2" max="2" width="21.0"/>
    <col customWidth="1" min="3" max="3" width="18.29"/>
    <col customWidth="1" min="4" max="4" width="22.29"/>
    <col customWidth="1" min="5" max="5" width="18.14"/>
    <col customWidth="1" min="6" max="6" width="21.0"/>
    <col customWidth="1" min="7" max="8" width="24.43"/>
    <col customWidth="1" min="9" max="10" width="8.71"/>
    <col customWidth="1" min="11" max="11" width="12.43"/>
    <col customWidth="1" min="12" max="12" width="10.57"/>
    <col customWidth="1" min="13" max="13" width="11.86"/>
    <col customWidth="1" min="14" max="14" width="11.57"/>
    <col customWidth="1" min="15" max="15" width="12.86"/>
    <col customWidth="1" min="16" max="16" width="23.29"/>
    <col customWidth="1" min="17" max="17" width="10.0"/>
    <col customWidth="1" min="18" max="18" width="8.71"/>
    <col customWidth="1" min="19" max="19" width="10.71"/>
    <col customWidth="1" min="20" max="20" width="12.29"/>
    <col customWidth="1" min="21" max="21" width="9.86"/>
    <col customWidth="1" min="22" max="26" width="8.71"/>
  </cols>
  <sheetData>
    <row r="1">
      <c r="A1" s="1" t="s">
        <v>0</v>
      </c>
      <c r="C1" s="2"/>
      <c r="D1" s="2"/>
      <c r="E1" s="2"/>
      <c r="F1" s="3"/>
      <c r="G1" s="3"/>
      <c r="H1" s="3"/>
    </row>
    <row r="2">
      <c r="A2" s="4"/>
      <c r="B2" s="5" t="s">
        <v>1</v>
      </c>
      <c r="C2" s="2"/>
      <c r="D2" s="6" t="s">
        <v>2</v>
      </c>
      <c r="E2" s="7"/>
      <c r="F2" s="3"/>
      <c r="G2" s="3"/>
      <c r="H2" s="3"/>
    </row>
    <row r="3" ht="15.0" customHeight="1">
      <c r="A3" s="8"/>
      <c r="B3" s="5" t="s">
        <v>3</v>
      </c>
      <c r="C3" s="2"/>
      <c r="D3" s="9">
        <f>C10*C15/C14</f>
        <v>1.362481281</v>
      </c>
      <c r="E3" s="10"/>
      <c r="F3" s="3"/>
      <c r="G3" s="62" t="s">
        <v>59</v>
      </c>
      <c r="H3" s="7"/>
    </row>
    <row r="4">
      <c r="A4" s="12"/>
      <c r="B4" s="5" t="s">
        <v>5</v>
      </c>
      <c r="C4" s="2"/>
      <c r="D4" s="13" t="s">
        <v>6</v>
      </c>
      <c r="E4" s="14">
        <f>B10*D15*D14/(D15+D14*D3)</f>
        <v>67.13611605</v>
      </c>
      <c r="F4" s="3"/>
      <c r="G4" s="15"/>
      <c r="H4" s="16"/>
    </row>
    <row r="5">
      <c r="A5" s="17"/>
      <c r="B5" s="5" t="s">
        <v>7</v>
      </c>
      <c r="C5" s="2"/>
      <c r="D5" s="13" t="s">
        <v>8</v>
      </c>
      <c r="E5" s="14">
        <f>E4*D3</f>
        <v>91.47170142</v>
      </c>
      <c r="F5" s="3"/>
      <c r="G5" s="15"/>
      <c r="H5" s="16"/>
    </row>
    <row r="6">
      <c r="A6" s="18"/>
      <c r="B6" s="5" t="s">
        <v>9</v>
      </c>
      <c r="C6" s="2"/>
      <c r="D6" s="13" t="s">
        <v>10</v>
      </c>
      <c r="E6" s="14">
        <f>E10*B10</f>
        <v>1.7</v>
      </c>
      <c r="F6" s="3"/>
      <c r="G6" s="15"/>
      <c r="H6" s="16"/>
    </row>
    <row r="7">
      <c r="A7" s="2"/>
      <c r="B7" s="2"/>
      <c r="C7" s="2"/>
      <c r="D7" s="2"/>
      <c r="E7" s="3"/>
      <c r="F7" s="3"/>
      <c r="G7" s="19"/>
      <c r="H7" s="20"/>
    </row>
    <row r="8">
      <c r="A8" s="21" t="s">
        <v>11</v>
      </c>
      <c r="F8" s="3"/>
      <c r="G8" s="3"/>
      <c r="H8" s="3"/>
    </row>
    <row r="9">
      <c r="A9" s="22" t="s">
        <v>12</v>
      </c>
      <c r="B9" s="22" t="s">
        <v>13</v>
      </c>
      <c r="C9" s="22" t="s">
        <v>14</v>
      </c>
      <c r="D9" s="22" t="s">
        <v>15</v>
      </c>
      <c r="E9" s="23" t="s">
        <v>16</v>
      </c>
      <c r="F9" s="3"/>
      <c r="G9" s="3"/>
      <c r="H9" s="3"/>
    </row>
    <row r="10">
      <c r="A10" s="24">
        <v>350.0</v>
      </c>
      <c r="B10" s="24">
        <v>170.0</v>
      </c>
      <c r="C10" s="24">
        <v>2.0</v>
      </c>
      <c r="D10" s="24">
        <v>90.0</v>
      </c>
      <c r="E10" s="24">
        <v>0.01</v>
      </c>
      <c r="F10" s="3"/>
      <c r="G10" s="3"/>
      <c r="H10" s="3"/>
    </row>
    <row r="11">
      <c r="A11" s="3"/>
      <c r="B11" s="3"/>
      <c r="C11" s="3"/>
      <c r="D11" s="3"/>
      <c r="E11" s="3"/>
      <c r="F11" s="3"/>
      <c r="G11" s="3"/>
      <c r="H11" s="3"/>
    </row>
    <row r="12">
      <c r="A12" s="25" t="s">
        <v>17</v>
      </c>
      <c r="B12" s="26"/>
      <c r="C12" s="26"/>
      <c r="D12" s="26"/>
      <c r="E12" s="26"/>
      <c r="F12" s="26"/>
      <c r="G12" s="26"/>
      <c r="H12" s="27"/>
    </row>
    <row r="13">
      <c r="A13" s="13"/>
      <c r="B13" s="13" t="s">
        <v>18</v>
      </c>
      <c r="C13" s="13" t="s">
        <v>19</v>
      </c>
      <c r="D13" s="13" t="s">
        <v>20</v>
      </c>
      <c r="E13" s="13" t="s">
        <v>21</v>
      </c>
      <c r="F13" s="13" t="s">
        <v>22</v>
      </c>
      <c r="G13" s="13" t="s">
        <v>23</v>
      </c>
      <c r="H13" s="28" t="s">
        <v>24</v>
      </c>
    </row>
    <row r="14" ht="15.0" customHeight="1">
      <c r="A14" s="13" t="s">
        <v>6</v>
      </c>
      <c r="B14" s="14">
        <f t="shared" ref="B14:B15" si="1">E4</f>
        <v>67.13611605</v>
      </c>
      <c r="C14" s="29">
        <v>88.148</v>
      </c>
      <c r="D14" s="29">
        <v>0.81</v>
      </c>
      <c r="E14" s="14">
        <f t="shared" ref="E14:E15" si="2">B14/D14</f>
        <v>82.88409388</v>
      </c>
      <c r="F14" s="14">
        <f t="shared" ref="F14:F15" si="3">B14/C14</f>
        <v>0.7616294873</v>
      </c>
      <c r="G14" s="28">
        <f t="shared" ref="G14:G15" si="4">E18*D14</f>
        <v>67.23</v>
      </c>
      <c r="H14" s="14">
        <f t="shared" ref="H14:H15" si="5">(G14/C14)/($B$18/1000)</f>
        <v>4.486438583</v>
      </c>
    </row>
    <row r="15">
      <c r="A15" s="13" t="s">
        <v>25</v>
      </c>
      <c r="B15" s="14">
        <f t="shared" si="1"/>
        <v>91.47170142</v>
      </c>
      <c r="C15" s="29">
        <v>60.05</v>
      </c>
      <c r="D15" s="29">
        <v>1.05</v>
      </c>
      <c r="E15" s="14">
        <f t="shared" si="2"/>
        <v>87.11590612</v>
      </c>
      <c r="F15" s="14">
        <f t="shared" si="3"/>
        <v>1.523258975</v>
      </c>
      <c r="G15" s="28">
        <f t="shared" si="4"/>
        <v>91.35</v>
      </c>
      <c r="H15" s="14">
        <f t="shared" si="5"/>
        <v>8.948425332</v>
      </c>
    </row>
    <row r="16">
      <c r="A16" s="3"/>
      <c r="B16" s="3"/>
      <c r="C16" s="3"/>
      <c r="D16" s="3"/>
      <c r="E16" s="3"/>
      <c r="F16" s="3"/>
      <c r="G16" s="3"/>
      <c r="H16" s="14">
        <f>H14/H15</f>
        <v>0.5013662647</v>
      </c>
    </row>
    <row r="17">
      <c r="A17" s="13" t="s">
        <v>26</v>
      </c>
      <c r="B17" s="28">
        <f>F15/F14</f>
        <v>2</v>
      </c>
      <c r="C17" s="3"/>
      <c r="D17" s="3"/>
      <c r="E17" s="3" t="s">
        <v>27</v>
      </c>
      <c r="F17" s="3"/>
      <c r="G17" s="3"/>
      <c r="H17" s="3"/>
    </row>
    <row r="18">
      <c r="A18" s="13" t="s">
        <v>28</v>
      </c>
      <c r="B18" s="14">
        <f>E14+E15</f>
        <v>170</v>
      </c>
      <c r="C18" s="3"/>
      <c r="D18" s="30" t="s">
        <v>6</v>
      </c>
      <c r="E18" s="17">
        <v>83.0</v>
      </c>
      <c r="F18" s="3"/>
      <c r="H18" s="3">
        <f>H15/H14</f>
        <v>1.994549834</v>
      </c>
    </row>
    <row r="19">
      <c r="A19" s="3"/>
      <c r="B19" s="3"/>
      <c r="C19" s="3"/>
      <c r="D19" s="3" t="s">
        <v>29</v>
      </c>
      <c r="E19" s="17">
        <v>87.0</v>
      </c>
      <c r="F19" s="3"/>
      <c r="H19" s="3"/>
    </row>
    <row r="20">
      <c r="A20" s="25" t="s">
        <v>30</v>
      </c>
      <c r="B20" s="27"/>
      <c r="C20" s="3"/>
      <c r="D20" s="3"/>
      <c r="E20" s="3"/>
      <c r="F20" s="3"/>
      <c r="H20" s="3"/>
    </row>
    <row r="21" ht="15.75" customHeight="1">
      <c r="A21" s="13" t="s">
        <v>31</v>
      </c>
      <c r="B21" s="31">
        <v>2.0</v>
      </c>
      <c r="C21" s="3"/>
      <c r="D21" s="3"/>
      <c r="E21" s="3"/>
      <c r="F21" s="3"/>
      <c r="G21" s="3"/>
      <c r="H21" s="3"/>
    </row>
    <row r="22" ht="15.75" customHeight="1">
      <c r="A22" s="13" t="s">
        <v>32</v>
      </c>
      <c r="B22" s="31"/>
      <c r="C22" s="3"/>
      <c r="D22" s="3"/>
      <c r="E22" s="3"/>
      <c r="F22" s="3"/>
      <c r="G22" s="3"/>
      <c r="H22" s="3"/>
    </row>
    <row r="23" ht="15.75" customHeight="1">
      <c r="A23" s="30"/>
      <c r="B23" s="3"/>
      <c r="C23" s="3"/>
      <c r="D23" s="3"/>
      <c r="E23" s="3"/>
      <c r="F23" s="3"/>
      <c r="G23" s="3"/>
      <c r="H23" s="3"/>
    </row>
    <row r="24" ht="15.0" customHeight="1">
      <c r="A24" s="3"/>
      <c r="B24" s="32" t="s">
        <v>33</v>
      </c>
      <c r="C24" s="32" t="s">
        <v>34</v>
      </c>
      <c r="D24" s="33" t="s">
        <v>35</v>
      </c>
      <c r="E24" s="33" t="s">
        <v>36</v>
      </c>
      <c r="F24" s="33" t="s">
        <v>37</v>
      </c>
      <c r="G24" s="3"/>
      <c r="H24" s="3"/>
    </row>
    <row r="25" ht="15.75" customHeight="1">
      <c r="A25" s="3"/>
      <c r="B25" s="34" t="s">
        <v>38</v>
      </c>
      <c r="C25" s="35" t="str">
        <f>B25</f>
        <v>Volume gasto (ml)</v>
      </c>
      <c r="D25" s="36"/>
      <c r="E25" s="36"/>
      <c r="F25" s="36"/>
      <c r="G25" s="3"/>
      <c r="H25" s="3"/>
    </row>
    <row r="26" ht="15.75" customHeight="1">
      <c r="A26" s="37" t="s">
        <v>39</v>
      </c>
      <c r="B26" s="38">
        <v>4.4</v>
      </c>
      <c r="C26" s="39">
        <v>4.4</v>
      </c>
      <c r="D26" s="40">
        <f>(B26+C26)/2</f>
        <v>4.4</v>
      </c>
      <c r="E26" s="41">
        <f>(D26/1000)*$B$21*$C$15</f>
        <v>0.52844</v>
      </c>
      <c r="F26" s="42">
        <f>(E26/$C$15)/0.001</f>
        <v>8.8</v>
      </c>
      <c r="G26" s="2"/>
      <c r="H26" s="43"/>
      <c r="O26" s="44"/>
      <c r="P26" s="44" t="s">
        <v>40</v>
      </c>
      <c r="Q26" s="44"/>
      <c r="R26" s="44"/>
    </row>
    <row r="27" ht="15.75" customHeight="1">
      <c r="A27" s="3"/>
      <c r="B27" s="3"/>
      <c r="C27" s="3"/>
      <c r="D27" s="3"/>
      <c r="E27" s="3"/>
      <c r="F27" s="3"/>
      <c r="G27" s="3"/>
      <c r="H27" s="43"/>
      <c r="O27" s="44"/>
      <c r="P27" s="44"/>
      <c r="Q27" s="44"/>
      <c r="R27" s="44"/>
    </row>
    <row r="28" ht="15.0" customHeight="1">
      <c r="A28" s="3"/>
      <c r="B28" s="32" t="s">
        <v>33</v>
      </c>
      <c r="C28" s="32" t="s">
        <v>34</v>
      </c>
      <c r="D28" s="33" t="s">
        <v>35</v>
      </c>
      <c r="E28" s="33" t="s">
        <v>36</v>
      </c>
      <c r="F28" s="45" t="s">
        <v>41</v>
      </c>
      <c r="G28" s="45" t="s">
        <v>24</v>
      </c>
      <c r="H28" s="46" t="s">
        <v>42</v>
      </c>
      <c r="K28" s="47" t="s">
        <v>43</v>
      </c>
      <c r="L28" s="47" t="s">
        <v>44</v>
      </c>
      <c r="M28" s="47" t="s">
        <v>45</v>
      </c>
      <c r="N28" s="47" t="s">
        <v>46</v>
      </c>
      <c r="O28" s="47" t="s">
        <v>47</v>
      </c>
      <c r="P28" s="47" t="s">
        <v>48</v>
      </c>
      <c r="Q28" s="47" t="s">
        <v>49</v>
      </c>
      <c r="R28" s="47" t="s">
        <v>50</v>
      </c>
      <c r="S28" s="47" t="s">
        <v>51</v>
      </c>
      <c r="T28" s="47" t="s">
        <v>52</v>
      </c>
      <c r="U28" s="47" t="s">
        <v>53</v>
      </c>
      <c r="V28" s="47" t="s">
        <v>54</v>
      </c>
      <c r="W28" s="47" t="s">
        <v>55</v>
      </c>
    </row>
    <row r="29" ht="15.75" customHeight="1">
      <c r="A29" s="48" t="s">
        <v>43</v>
      </c>
      <c r="B29" s="28" t="s">
        <v>38</v>
      </c>
      <c r="C29" s="49" t="str">
        <f>B29</f>
        <v>Volume gasto (ml)</v>
      </c>
      <c r="D29" s="50"/>
      <c r="E29" s="50"/>
      <c r="F29" s="50"/>
      <c r="G29" s="50"/>
      <c r="H29" s="51"/>
      <c r="K29" s="47">
        <v>0.0</v>
      </c>
      <c r="L29" s="47">
        <v>1548119.0</v>
      </c>
      <c r="M29" s="52">
        <v>3620255.0</v>
      </c>
      <c r="N29" s="52"/>
      <c r="O29" s="53">
        <v>10.0</v>
      </c>
      <c r="P29" s="53">
        <v>0.14</v>
      </c>
      <c r="Q29" s="53">
        <f>(P29+O29)</f>
        <v>10.14</v>
      </c>
      <c r="R29" s="47">
        <f>F26</f>
        <v>8.8</v>
      </c>
      <c r="S29" s="47">
        <f t="shared" ref="S29:S35" si="6">(((0.0035162*L29-1678.55)*$Q$29/1000)/($P$29*60.05))</f>
        <v>4.541043502</v>
      </c>
      <c r="T29" s="47">
        <f t="shared" ref="T29:T35" si="7">((0.0000000137*M29+0.000227912096202)*$Q$29)/$P$29</f>
        <v>3.608782948</v>
      </c>
      <c r="U29" s="47">
        <f t="shared" ref="U29:U35" si="8">((0.0000000109*N29+0.000273309544858)*$Q$29)/$P$29</f>
        <v>0.01979541989</v>
      </c>
      <c r="V29" s="47">
        <f t="shared" ref="V29:V35" si="9">($S$29-S29)/$S$29</f>
        <v>0</v>
      </c>
      <c r="W29" s="47">
        <f t="shared" ref="W29:W35" si="10">($T$29-T29)/$T$29</f>
        <v>0</v>
      </c>
    </row>
    <row r="30" ht="15.75" customHeight="1">
      <c r="A30" s="54">
        <v>30.0</v>
      </c>
      <c r="B30" s="28">
        <v>3.25</v>
      </c>
      <c r="C30" s="28">
        <v>3.25</v>
      </c>
      <c r="D30" s="28">
        <f t="shared" ref="D30:D35" si="11">(B30+C30)/2</f>
        <v>3.25</v>
      </c>
      <c r="E30" s="14">
        <f t="shared" ref="E30:E35" si="12">(D30/1000)*$B$21*$C$15</f>
        <v>0.390325</v>
      </c>
      <c r="F30" s="28">
        <f t="shared" ref="F30:F35" si="13">(E30/$C$15)/0.001</f>
        <v>6.5</v>
      </c>
      <c r="G30" s="55">
        <f>F26</f>
        <v>8.8</v>
      </c>
      <c r="H30" s="56">
        <f t="shared" ref="H30:H35" si="14">($G$30-F30)/$G$30</f>
        <v>0.2613636364</v>
      </c>
      <c r="I30" s="57">
        <f t="shared" ref="I30:I35" si="15">($F$26/$H$14)-(F30/$H$14)</f>
        <v>0.5126560762</v>
      </c>
      <c r="K30" s="47">
        <v>30.0</v>
      </c>
      <c r="L30" s="47">
        <v>1582029.0</v>
      </c>
      <c r="M30" s="47">
        <v>2482179.0</v>
      </c>
      <c r="N30" s="47">
        <v>2912226.0</v>
      </c>
      <c r="O30" s="58"/>
      <c r="P30" s="58"/>
      <c r="Q30" s="58"/>
      <c r="R30" s="47">
        <f t="shared" ref="R30:R35" si="16">F30</f>
        <v>6.5</v>
      </c>
      <c r="S30" s="47">
        <f t="shared" si="6"/>
        <v>4.684856542</v>
      </c>
      <c r="T30" s="47">
        <f t="shared" si="7"/>
        <v>2.47950265</v>
      </c>
      <c r="U30" s="47">
        <f t="shared" si="8"/>
        <v>2.31891464</v>
      </c>
      <c r="V30" s="47">
        <f t="shared" si="9"/>
        <v>-0.03166960193</v>
      </c>
      <c r="W30" s="47">
        <f t="shared" si="10"/>
        <v>0.3129255249</v>
      </c>
    </row>
    <row r="31" ht="15.75" customHeight="1">
      <c r="A31" s="54">
        <v>60.0</v>
      </c>
      <c r="B31" s="28">
        <v>2.9</v>
      </c>
      <c r="C31" s="28">
        <v>2.9</v>
      </c>
      <c r="D31" s="28">
        <f t="shared" si="11"/>
        <v>2.9</v>
      </c>
      <c r="E31" s="14">
        <f t="shared" si="12"/>
        <v>0.34829</v>
      </c>
      <c r="F31" s="28">
        <f t="shared" si="13"/>
        <v>5.8</v>
      </c>
      <c r="G31" s="58"/>
      <c r="H31" s="56">
        <f t="shared" si="14"/>
        <v>0.3409090909</v>
      </c>
      <c r="I31" s="57">
        <f t="shared" si="15"/>
        <v>0.6686818385</v>
      </c>
      <c r="K31" s="47">
        <v>60.0</v>
      </c>
      <c r="L31" s="47">
        <v>1028106.0</v>
      </c>
      <c r="M31" s="47">
        <v>1095926.0</v>
      </c>
      <c r="N31" s="47">
        <v>3271566.0</v>
      </c>
      <c r="O31" s="58"/>
      <c r="P31" s="58"/>
      <c r="Q31" s="58"/>
      <c r="R31" s="47">
        <f t="shared" si="16"/>
        <v>5.8</v>
      </c>
      <c r="S31" s="47">
        <f t="shared" si="6"/>
        <v>2.335657173</v>
      </c>
      <c r="T31" s="47">
        <f t="shared" si="7"/>
        <v>1.103963405</v>
      </c>
      <c r="U31" s="47">
        <f t="shared" si="8"/>
        <v>2.602603304</v>
      </c>
      <c r="V31" s="47">
        <f t="shared" si="9"/>
        <v>0.4856562875</v>
      </c>
      <c r="W31" s="47">
        <f t="shared" si="10"/>
        <v>0.69408983</v>
      </c>
    </row>
    <row r="32" ht="15.75" customHeight="1">
      <c r="A32" s="54">
        <v>90.0</v>
      </c>
      <c r="B32" s="28">
        <v>2.7</v>
      </c>
      <c r="C32" s="28">
        <v>2.7</v>
      </c>
      <c r="D32" s="28">
        <f t="shared" si="11"/>
        <v>2.7</v>
      </c>
      <c r="E32" s="14">
        <f t="shared" si="12"/>
        <v>0.32427</v>
      </c>
      <c r="F32" s="28">
        <f t="shared" si="13"/>
        <v>5.4</v>
      </c>
      <c r="G32" s="58"/>
      <c r="H32" s="56">
        <f t="shared" si="14"/>
        <v>0.3863636364</v>
      </c>
      <c r="I32" s="57">
        <f t="shared" si="15"/>
        <v>0.7578394169</v>
      </c>
      <c r="K32" s="47">
        <v>90.0</v>
      </c>
      <c r="L32" s="47">
        <v>1191200.0</v>
      </c>
      <c r="M32" s="47">
        <v>1073887.0</v>
      </c>
      <c r="N32" s="47">
        <v>4224746.0</v>
      </c>
      <c r="O32" s="58"/>
      <c r="P32" s="58"/>
      <c r="Q32" s="58"/>
      <c r="R32" s="47">
        <f t="shared" si="16"/>
        <v>5.4</v>
      </c>
      <c r="S32" s="47">
        <f t="shared" si="6"/>
        <v>3.027342339</v>
      </c>
      <c r="T32" s="47">
        <f t="shared" si="7"/>
        <v>1.082094735</v>
      </c>
      <c r="U32" s="47">
        <f t="shared" si="8"/>
        <v>3.35511168</v>
      </c>
      <c r="V32" s="47">
        <f t="shared" si="9"/>
        <v>0.3333377367</v>
      </c>
      <c r="W32" s="47">
        <f t="shared" si="10"/>
        <v>0.7001496763</v>
      </c>
    </row>
    <row r="33" ht="15.75" customHeight="1">
      <c r="A33" s="54">
        <v>120.0</v>
      </c>
      <c r="B33" s="28">
        <v>2.6</v>
      </c>
      <c r="C33" s="28">
        <v>2.6</v>
      </c>
      <c r="D33" s="28">
        <f t="shared" si="11"/>
        <v>2.6</v>
      </c>
      <c r="E33" s="14">
        <f t="shared" si="12"/>
        <v>0.31226</v>
      </c>
      <c r="F33" s="28">
        <f t="shared" si="13"/>
        <v>5.2</v>
      </c>
      <c r="G33" s="58"/>
      <c r="H33" s="56">
        <f t="shared" si="14"/>
        <v>0.4090909091</v>
      </c>
      <c r="I33" s="57">
        <f t="shared" si="15"/>
        <v>0.8024182062</v>
      </c>
      <c r="K33" s="47">
        <v>120.0</v>
      </c>
      <c r="L33" s="47">
        <v>1190931.0</v>
      </c>
      <c r="M33" s="47">
        <v>943666.0</v>
      </c>
      <c r="N33" s="47">
        <v>4515756.0</v>
      </c>
      <c r="O33" s="58"/>
      <c r="P33" s="58"/>
      <c r="Q33" s="58"/>
      <c r="R33" s="47">
        <f t="shared" si="16"/>
        <v>5.2</v>
      </c>
      <c r="S33" s="47">
        <f t="shared" si="6"/>
        <v>3.026201504</v>
      </c>
      <c r="T33" s="47">
        <f t="shared" si="7"/>
        <v>0.9528801575</v>
      </c>
      <c r="U33" s="47">
        <f t="shared" si="8"/>
        <v>3.58485576</v>
      </c>
      <c r="V33" s="47">
        <f t="shared" si="9"/>
        <v>0.3335889642</v>
      </c>
      <c r="W33" s="47">
        <f t="shared" si="10"/>
        <v>0.7359552594</v>
      </c>
    </row>
    <row r="34" ht="15.75" customHeight="1">
      <c r="A34" s="54">
        <v>240.0</v>
      </c>
      <c r="B34" s="28">
        <v>2.5</v>
      </c>
      <c r="C34" s="28">
        <v>2.5</v>
      </c>
      <c r="D34" s="28">
        <f t="shared" si="11"/>
        <v>2.5</v>
      </c>
      <c r="E34" s="14">
        <f t="shared" si="12"/>
        <v>0.30025</v>
      </c>
      <c r="F34" s="28">
        <f t="shared" si="13"/>
        <v>5</v>
      </c>
      <c r="G34" s="58"/>
      <c r="H34" s="56">
        <f t="shared" si="14"/>
        <v>0.4318181818</v>
      </c>
      <c r="I34" s="57">
        <f t="shared" si="15"/>
        <v>0.8469969954</v>
      </c>
      <c r="K34" s="47">
        <v>240.0</v>
      </c>
      <c r="L34" s="47">
        <v>1075731.0</v>
      </c>
      <c r="M34" s="47">
        <v>552364.0</v>
      </c>
      <c r="N34" s="47">
        <v>4907174.0</v>
      </c>
      <c r="O34" s="58"/>
      <c r="P34" s="58"/>
      <c r="Q34" s="58"/>
      <c r="R34" s="47">
        <f t="shared" si="16"/>
        <v>5</v>
      </c>
      <c r="S34" s="47">
        <f t="shared" si="6"/>
        <v>2.537635824</v>
      </c>
      <c r="T34" s="47">
        <f t="shared" si="7"/>
        <v>0.5646023629</v>
      </c>
      <c r="U34" s="47">
        <f t="shared" si="8"/>
        <v>3.893869088</v>
      </c>
      <c r="V34" s="47">
        <f t="shared" si="9"/>
        <v>0.4411778212</v>
      </c>
      <c r="W34" s="47">
        <f t="shared" si="10"/>
        <v>0.8435477082</v>
      </c>
    </row>
    <row r="35" ht="15.75" customHeight="1">
      <c r="A35" s="54">
        <v>360.0</v>
      </c>
      <c r="B35" s="28">
        <v>2.5</v>
      </c>
      <c r="C35" s="28">
        <v>2.5</v>
      </c>
      <c r="D35" s="28">
        <f t="shared" si="11"/>
        <v>2.5</v>
      </c>
      <c r="E35" s="14">
        <f t="shared" si="12"/>
        <v>0.30025</v>
      </c>
      <c r="F35" s="28">
        <f t="shared" si="13"/>
        <v>5</v>
      </c>
      <c r="G35" s="50"/>
      <c r="H35" s="56">
        <f t="shared" si="14"/>
        <v>0.4318181818</v>
      </c>
      <c r="I35" s="57">
        <f t="shared" si="15"/>
        <v>0.8469969954</v>
      </c>
      <c r="K35" s="59">
        <v>360.0</v>
      </c>
      <c r="L35" s="59">
        <v>1233653.0</v>
      </c>
      <c r="M35" s="59">
        <v>605807.0</v>
      </c>
      <c r="N35" s="59">
        <v>5659810.0</v>
      </c>
      <c r="O35" s="50"/>
      <c r="P35" s="50"/>
      <c r="Q35" s="50"/>
      <c r="R35" s="59">
        <f t="shared" si="16"/>
        <v>5</v>
      </c>
      <c r="S35" s="59">
        <f t="shared" si="6"/>
        <v>3.207386426</v>
      </c>
      <c r="T35" s="59">
        <f t="shared" si="7"/>
        <v>0.6176323249</v>
      </c>
      <c r="U35" s="59">
        <f t="shared" si="8"/>
        <v>4.488053706</v>
      </c>
      <c r="V35" s="59">
        <f t="shared" si="9"/>
        <v>0.2936895618</v>
      </c>
      <c r="W35" s="59">
        <f t="shared" si="10"/>
        <v>0.828853014</v>
      </c>
    </row>
    <row r="36" ht="15.75" customHeight="1">
      <c r="K36" s="60"/>
      <c r="L36" s="60"/>
      <c r="M36" s="60"/>
      <c r="N36" s="60"/>
    </row>
    <row r="37" ht="15.75" customHeight="1">
      <c r="H37" s="57" t="s">
        <v>56</v>
      </c>
      <c r="I37" s="57">
        <f>I35^2/((1-I35)*(F26/T29-I35))</f>
        <v>2.946168754</v>
      </c>
      <c r="K37" s="60"/>
      <c r="L37" s="60"/>
      <c r="M37" s="60"/>
      <c r="N37" s="60"/>
    </row>
    <row r="38" ht="15.75" customHeight="1">
      <c r="R38" s="57">
        <v>19.82</v>
      </c>
      <c r="S38" s="57">
        <f t="shared" ref="S38:S43" si="17">R38/R30</f>
        <v>3.049230769</v>
      </c>
    </row>
    <row r="39" ht="15.75" customHeight="1">
      <c r="R39" s="57">
        <v>17.85</v>
      </c>
      <c r="S39" s="57">
        <f t="shared" si="17"/>
        <v>3.077586207</v>
      </c>
    </row>
    <row r="40" ht="15.75" customHeight="1">
      <c r="R40" s="57">
        <v>14.49</v>
      </c>
      <c r="S40" s="57">
        <f t="shared" si="17"/>
        <v>2.683333333</v>
      </c>
    </row>
    <row r="41" ht="15.75" customHeight="1">
      <c r="R41" s="57">
        <v>13.97</v>
      </c>
      <c r="S41" s="57">
        <f t="shared" si="17"/>
        <v>2.686538462</v>
      </c>
    </row>
    <row r="42" ht="15.75" customHeight="1">
      <c r="R42" s="57">
        <v>10.78</v>
      </c>
      <c r="S42" s="57">
        <f t="shared" si="17"/>
        <v>2.156</v>
      </c>
    </row>
    <row r="43" ht="15.75" customHeight="1">
      <c r="R43" s="57">
        <v>11.68</v>
      </c>
      <c r="S43" s="57">
        <f t="shared" si="17"/>
        <v>2.336</v>
      </c>
    </row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9">
    <mergeCell ref="A1:B1"/>
    <mergeCell ref="D2:E2"/>
    <mergeCell ref="D3:E3"/>
    <mergeCell ref="G3:H7"/>
    <mergeCell ref="A8:E8"/>
    <mergeCell ref="A12:H12"/>
    <mergeCell ref="A20:B20"/>
    <mergeCell ref="H28:H29"/>
    <mergeCell ref="O29:O35"/>
    <mergeCell ref="P29:P35"/>
    <mergeCell ref="Q29:Q35"/>
    <mergeCell ref="G30:G35"/>
    <mergeCell ref="D24:D25"/>
    <mergeCell ref="E24:E25"/>
    <mergeCell ref="F24:F25"/>
    <mergeCell ref="D28:D29"/>
    <mergeCell ref="E28:E29"/>
    <mergeCell ref="F28:F29"/>
    <mergeCell ref="G28:G29"/>
  </mergeCells>
  <printOptions/>
  <pageMargins bottom="0.7875" footer="0.0" header="0.0" left="0.511805555555555" right="0.511805555555555" top="0.78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2022-08-22T19:04:32Z</dcterms:created>
  <dc:creator>Usuário do Windows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